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555" windowWidth="28590" windowHeight="12405" tabRatio="789" activeTab="2"/>
  </bookViews>
  <sheets>
    <sheet name="Bemerkungen" sheetId="19" r:id="rId1"/>
    <sheet name="Info" sheetId="14" r:id="rId2"/>
    <sheet name="Netzbetreiber" sheetId="5" r:id="rId3"/>
    <sheet name="SLP-Verfahren" sheetId="15" r:id="rId4"/>
    <sheet name="SLP-Temperatur-Gebiet # 1" sheetId="17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0" hidden="1">#REF!</definedName>
    <definedName name="_Fill" localSheetId="4" hidden="1">#REF!</definedName>
    <definedName name="_Fill" localSheetId="3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  <definedName name="Wochentags_Faktoren">'Wochentag F(WT)'!$B$4:$M$22</definedName>
  </definedNames>
  <calcPr calcId="145621"/>
</workbook>
</file>

<file path=xl/calcChain.xml><?xml version="1.0" encoding="utf-8"?>
<calcChain xmlns="http://schemas.openxmlformats.org/spreadsheetml/2006/main">
  <c r="V17" i="7" l="1"/>
  <c r="U17" i="7"/>
  <c r="T17" i="7"/>
  <c r="S17" i="7"/>
  <c r="R17" i="7"/>
  <c r="Q17" i="7"/>
  <c r="O17" i="7"/>
  <c r="N17" i="7"/>
  <c r="M17" i="7"/>
  <c r="L17" i="7"/>
  <c r="K17" i="7"/>
  <c r="J17" i="7"/>
  <c r="I17" i="7"/>
  <c r="H17" i="7"/>
  <c r="G17" i="7"/>
  <c r="F17" i="7"/>
  <c r="V13" i="7"/>
  <c r="U13" i="7"/>
  <c r="T13" i="7"/>
  <c r="S13" i="7"/>
  <c r="R13" i="7"/>
  <c r="Q13" i="7"/>
  <c r="O13" i="7"/>
  <c r="N13" i="7"/>
  <c r="M13" i="7"/>
  <c r="L13" i="7"/>
  <c r="K13" i="7"/>
  <c r="J13" i="7"/>
  <c r="I13" i="7"/>
  <c r="H13" i="7"/>
  <c r="G13" i="7"/>
  <c r="F13" i="7"/>
  <c r="W17" i="7" l="1"/>
  <c r="P17" i="7"/>
  <c r="P13" i="7"/>
  <c r="W13" i="7"/>
  <c r="V16" i="7"/>
  <c r="U16" i="7"/>
  <c r="T16" i="7"/>
  <c r="S16" i="7"/>
  <c r="R16" i="7"/>
  <c r="Q16" i="7"/>
  <c r="O16" i="7"/>
  <c r="N16" i="7"/>
  <c r="M16" i="7"/>
  <c r="L16" i="7"/>
  <c r="K16" i="7"/>
  <c r="J16" i="7"/>
  <c r="I16" i="7"/>
  <c r="H16" i="7"/>
  <c r="G16" i="7"/>
  <c r="F16" i="7"/>
  <c r="V15" i="7"/>
  <c r="U15" i="7"/>
  <c r="T15" i="7"/>
  <c r="S15" i="7"/>
  <c r="R15" i="7"/>
  <c r="Q15" i="7"/>
  <c r="O15" i="7"/>
  <c r="N15" i="7"/>
  <c r="M15" i="7"/>
  <c r="L15" i="7"/>
  <c r="K15" i="7"/>
  <c r="J15" i="7"/>
  <c r="I15" i="7"/>
  <c r="H15" i="7"/>
  <c r="G15" i="7"/>
  <c r="F15" i="7"/>
  <c r="V14" i="7"/>
  <c r="U14" i="7"/>
  <c r="T14" i="7"/>
  <c r="S14" i="7"/>
  <c r="R14" i="7"/>
  <c r="Q14" i="7"/>
  <c r="O14" i="7"/>
  <c r="N14" i="7"/>
  <c r="M14" i="7"/>
  <c r="L14" i="7"/>
  <c r="K14" i="7"/>
  <c r="J14" i="7"/>
  <c r="I14" i="7"/>
  <c r="H14" i="7"/>
  <c r="G14" i="7"/>
  <c r="F14" i="7"/>
  <c r="V12" i="7"/>
  <c r="U12" i="7"/>
  <c r="T12" i="7"/>
  <c r="S12" i="7"/>
  <c r="R12" i="7"/>
  <c r="Q12" i="7"/>
  <c r="W12" i="7" s="1"/>
  <c r="O12" i="7"/>
  <c r="N12" i="7"/>
  <c r="M12" i="7"/>
  <c r="L12" i="7"/>
  <c r="K12" i="7"/>
  <c r="J12" i="7"/>
  <c r="I12" i="7"/>
  <c r="H12" i="7"/>
  <c r="G12" i="7"/>
  <c r="P12" i="7" s="1"/>
  <c r="F12" i="7"/>
  <c r="P16" i="7" l="1"/>
  <c r="W16" i="7"/>
  <c r="P15" i="7"/>
  <c r="W15" i="7"/>
  <c r="P14" i="7"/>
  <c r="W14" i="7"/>
  <c r="M22" i="4"/>
  <c r="K22" i="4"/>
  <c r="K21" i="4"/>
  <c r="J21" i="4"/>
  <c r="I21" i="4"/>
  <c r="H21" i="4"/>
  <c r="G21" i="4"/>
  <c r="F21" i="4"/>
  <c r="E21" i="4"/>
  <c r="D21" i="4"/>
  <c r="M21" i="4" s="1"/>
  <c r="M20" i="4"/>
  <c r="M19" i="4"/>
  <c r="M18" i="4"/>
  <c r="M17" i="4"/>
  <c r="M16" i="4"/>
  <c r="M15" i="4"/>
  <c r="M14" i="4"/>
  <c r="M13" i="4"/>
  <c r="M12" i="4"/>
  <c r="M11" i="4"/>
  <c r="M9" i="4"/>
  <c r="M8" i="4"/>
  <c r="M7" i="4"/>
  <c r="A94" i="8"/>
  <c r="C94" i="8" s="1"/>
  <c r="A93" i="8"/>
  <c r="B93" i="8" s="1"/>
  <c r="A92" i="8"/>
  <c r="C92" i="8" s="1"/>
  <c r="C91" i="8"/>
  <c r="B91" i="8"/>
  <c r="A91" i="8"/>
  <c r="C90" i="8"/>
  <c r="B90" i="8"/>
  <c r="A90" i="8"/>
  <c r="A89" i="8"/>
  <c r="C89" i="8" s="1"/>
  <c r="A88" i="8"/>
  <c r="C87" i="8"/>
  <c r="B87" i="8"/>
  <c r="A87" i="8"/>
  <c r="C86" i="8"/>
  <c r="B86" i="8"/>
  <c r="A86" i="8"/>
  <c r="A85" i="8"/>
  <c r="C85" i="8" s="1"/>
  <c r="A84" i="8"/>
  <c r="C83" i="8"/>
  <c r="B83" i="8"/>
  <c r="A83" i="8"/>
  <c r="C82" i="8"/>
  <c r="B82" i="8"/>
  <c r="A82" i="8"/>
  <c r="A81" i="8"/>
  <c r="A80" i="8"/>
  <c r="C79" i="8"/>
  <c r="B79" i="8"/>
  <c r="A79" i="8"/>
  <c r="C78" i="8"/>
  <c r="B78" i="8"/>
  <c r="A78" i="8"/>
  <c r="B77" i="8"/>
  <c r="A77" i="8"/>
  <c r="C77" i="8" s="1"/>
  <c r="A76" i="8"/>
  <c r="C75" i="8"/>
  <c r="B75" i="8"/>
  <c r="A75" i="8"/>
  <c r="C74" i="8"/>
  <c r="B74" i="8"/>
  <c r="A74" i="8"/>
  <c r="A73" i="8"/>
  <c r="C73" i="8" s="1"/>
  <c r="A72" i="8"/>
  <c r="C71" i="8"/>
  <c r="B71" i="8"/>
  <c r="A71" i="8"/>
  <c r="C70" i="8"/>
  <c r="B70" i="8"/>
  <c r="A70" i="8"/>
  <c r="A69" i="8"/>
  <c r="C69" i="8" s="1"/>
  <c r="A68" i="8"/>
  <c r="C67" i="8"/>
  <c r="B67" i="8"/>
  <c r="A67" i="8"/>
  <c r="C66" i="8"/>
  <c r="B66" i="8"/>
  <c r="A66" i="8"/>
  <c r="A65" i="8"/>
  <c r="A64" i="8"/>
  <c r="C63" i="8"/>
  <c r="B63" i="8"/>
  <c r="A63" i="8"/>
  <c r="C62" i="8"/>
  <c r="B62" i="8"/>
  <c r="A62" i="8"/>
  <c r="B61" i="8"/>
  <c r="A61" i="8"/>
  <c r="C61" i="8" s="1"/>
  <c r="A60" i="8"/>
  <c r="C59" i="8"/>
  <c r="B59" i="8"/>
  <c r="A59" i="8"/>
  <c r="C58" i="8"/>
  <c r="B58" i="8"/>
  <c r="A58" i="8"/>
  <c r="A57" i="8"/>
  <c r="C57" i="8" s="1"/>
  <c r="A56" i="8"/>
  <c r="C55" i="8"/>
  <c r="B55" i="8"/>
  <c r="A55" i="8"/>
  <c r="C54" i="8"/>
  <c r="B54" i="8"/>
  <c r="A54" i="8"/>
  <c r="A53" i="8"/>
  <c r="C53" i="8" s="1"/>
  <c r="A52" i="8"/>
  <c r="C51" i="8"/>
  <c r="B51" i="8"/>
  <c r="A51" i="8"/>
  <c r="C50" i="8"/>
  <c r="B50" i="8"/>
  <c r="A50" i="8"/>
  <c r="A49" i="8"/>
  <c r="A48" i="8"/>
  <c r="C47" i="8"/>
  <c r="B47" i="8"/>
  <c r="A47" i="8"/>
  <c r="C46" i="8"/>
  <c r="B46" i="8"/>
  <c r="A46" i="8"/>
  <c r="B45" i="8"/>
  <c r="A45" i="8"/>
  <c r="C45" i="8" s="1"/>
  <c r="A44" i="8"/>
  <c r="C43" i="8"/>
  <c r="B43" i="8"/>
  <c r="A43" i="8"/>
  <c r="C42" i="8"/>
  <c r="B42" i="8"/>
  <c r="A42" i="8"/>
  <c r="A41" i="8"/>
  <c r="C41" i="8" s="1"/>
  <c r="A40" i="8"/>
  <c r="C39" i="8"/>
  <c r="B39" i="8"/>
  <c r="A39" i="8"/>
  <c r="C38" i="8"/>
  <c r="B38" i="8"/>
  <c r="A38" i="8"/>
  <c r="A37" i="8"/>
  <c r="C37" i="8" s="1"/>
  <c r="A36" i="8"/>
  <c r="C35" i="8"/>
  <c r="B35" i="8"/>
  <c r="A35" i="8"/>
  <c r="C34" i="8"/>
  <c r="B34" i="8"/>
  <c r="A34" i="8"/>
  <c r="A33" i="8"/>
  <c r="A32" i="8"/>
  <c r="C31" i="8"/>
  <c r="B31" i="8"/>
  <c r="A31" i="8"/>
  <c r="C30" i="8"/>
  <c r="B30" i="8"/>
  <c r="A30" i="8"/>
  <c r="B29" i="8"/>
  <c r="A29" i="8"/>
  <c r="C29" i="8" s="1"/>
  <c r="A28" i="8"/>
  <c r="C27" i="8"/>
  <c r="B27" i="8"/>
  <c r="A27" i="8"/>
  <c r="C26" i="8"/>
  <c r="B26" i="8"/>
  <c r="A26" i="8"/>
  <c r="A25" i="8"/>
  <c r="C25" i="8" s="1"/>
  <c r="A24" i="8"/>
  <c r="C23" i="8"/>
  <c r="B23" i="8"/>
  <c r="A23" i="8"/>
  <c r="C22" i="8"/>
  <c r="B22" i="8"/>
  <c r="A22" i="8"/>
  <c r="A21" i="8"/>
  <c r="C21" i="8" s="1"/>
  <c r="A20" i="8"/>
  <c r="C19" i="8"/>
  <c r="B19" i="8"/>
  <c r="A19" i="8"/>
  <c r="C18" i="8"/>
  <c r="B18" i="8"/>
  <c r="A18" i="8"/>
  <c r="A17" i="8"/>
  <c r="A16" i="8"/>
  <c r="C15" i="8"/>
  <c r="B15" i="8"/>
  <c r="A15" i="8"/>
  <c r="C14" i="8"/>
  <c r="B14" i="8"/>
  <c r="A14" i="8"/>
  <c r="B13" i="8"/>
  <c r="A13" i="8"/>
  <c r="C13" i="8" s="1"/>
  <c r="A12" i="8"/>
  <c r="C11" i="8"/>
  <c r="B11" i="8"/>
  <c r="A11" i="8"/>
  <c r="C10" i="8"/>
  <c r="B10" i="8"/>
  <c r="A10" i="8"/>
  <c r="B9" i="8"/>
  <c r="A9" i="8"/>
  <c r="C9" i="8" s="1"/>
  <c r="A8" i="8"/>
  <c r="C7" i="8"/>
  <c r="B7" i="8"/>
  <c r="A7" i="8"/>
  <c r="C6" i="8"/>
  <c r="B6" i="8"/>
  <c r="A6" i="8"/>
  <c r="A5" i="8"/>
  <c r="C5" i="8" s="1"/>
  <c r="A4" i="8"/>
  <c r="C3" i="8"/>
  <c r="B3" i="8"/>
  <c r="A3" i="8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C7" i="1"/>
  <c r="C6" i="1"/>
  <c r="C4" i="1"/>
  <c r="V11" i="7"/>
  <c r="U11" i="7"/>
  <c r="T11" i="7"/>
  <c r="S11" i="7"/>
  <c r="R11" i="7"/>
  <c r="Q11" i="7"/>
  <c r="J8" i="7"/>
  <c r="D8" i="7"/>
  <c r="D7" i="7"/>
  <c r="D5" i="7"/>
  <c r="N67" i="17"/>
  <c r="M67" i="17"/>
  <c r="L67" i="17"/>
  <c r="K67" i="17"/>
  <c r="J67" i="17"/>
  <c r="I67" i="17"/>
  <c r="H67" i="17"/>
  <c r="G67" i="17"/>
  <c r="F67" i="17"/>
  <c r="N66" i="17"/>
  <c r="M66" i="17"/>
  <c r="L66" i="17"/>
  <c r="K66" i="17"/>
  <c r="J66" i="17"/>
  <c r="I66" i="17"/>
  <c r="H66" i="17"/>
  <c r="G66" i="17"/>
  <c r="F66" i="17"/>
  <c r="E66" i="17"/>
  <c r="N65" i="17"/>
  <c r="M65" i="17"/>
  <c r="L65" i="17"/>
  <c r="K65" i="17"/>
  <c r="J65" i="17"/>
  <c r="I65" i="17"/>
  <c r="H65" i="17"/>
  <c r="G65" i="17"/>
  <c r="F65" i="17"/>
  <c r="E65" i="17"/>
  <c r="N64" i="17"/>
  <c r="M64" i="17"/>
  <c r="L64" i="17"/>
  <c r="K64" i="17"/>
  <c r="J64" i="17"/>
  <c r="I64" i="17"/>
  <c r="H64" i="17"/>
  <c r="G64" i="17"/>
  <c r="F64" i="17"/>
  <c r="E64" i="17"/>
  <c r="K61" i="17"/>
  <c r="G61" i="17"/>
  <c r="N58" i="17"/>
  <c r="M58" i="17"/>
  <c r="L58" i="17"/>
  <c r="K58" i="17"/>
  <c r="J58" i="17"/>
  <c r="I58" i="17"/>
  <c r="H58" i="17"/>
  <c r="G58" i="17"/>
  <c r="F58" i="17"/>
  <c r="E58" i="17"/>
  <c r="N57" i="17"/>
  <c r="M57" i="17"/>
  <c r="L57" i="17"/>
  <c r="K57" i="17"/>
  <c r="J57" i="17"/>
  <c r="I57" i="17"/>
  <c r="H57" i="17"/>
  <c r="G57" i="17"/>
  <c r="F57" i="17"/>
  <c r="E57" i="17"/>
  <c r="N56" i="17"/>
  <c r="M56" i="17"/>
  <c r="L56" i="17"/>
  <c r="K56" i="17"/>
  <c r="J56" i="17"/>
  <c r="I56" i="17"/>
  <c r="H56" i="17"/>
  <c r="G56" i="17"/>
  <c r="F56" i="17"/>
  <c r="E56" i="17"/>
  <c r="N55" i="17"/>
  <c r="M55" i="17"/>
  <c r="L55" i="17"/>
  <c r="K55" i="17"/>
  <c r="J55" i="17"/>
  <c r="I55" i="17"/>
  <c r="H55" i="17"/>
  <c r="G55" i="17"/>
  <c r="F55" i="17"/>
  <c r="E55" i="17"/>
  <c r="N54" i="17"/>
  <c r="M54" i="17"/>
  <c r="L54" i="17"/>
  <c r="K54" i="17"/>
  <c r="J54" i="17"/>
  <c r="I54" i="17"/>
  <c r="H54" i="17"/>
  <c r="G54" i="17"/>
  <c r="F54" i="17"/>
  <c r="E54" i="17"/>
  <c r="F50" i="17"/>
  <c r="H51" i="17" s="1"/>
  <c r="N28" i="17"/>
  <c r="M28" i="17"/>
  <c r="L28" i="17"/>
  <c r="K28" i="17"/>
  <c r="J28" i="17"/>
  <c r="I28" i="17"/>
  <c r="H28" i="17"/>
  <c r="G28" i="17"/>
  <c r="F28" i="17"/>
  <c r="E28" i="17"/>
  <c r="D31" i="17" s="1"/>
  <c r="T22" i="17"/>
  <c r="N18" i="17"/>
  <c r="M18" i="17"/>
  <c r="L18" i="17"/>
  <c r="K18" i="17"/>
  <c r="J18" i="17"/>
  <c r="I18" i="17"/>
  <c r="H18" i="17"/>
  <c r="G18" i="17"/>
  <c r="F18" i="17"/>
  <c r="E18" i="17"/>
  <c r="F9" i="17"/>
  <c r="O29" i="15" s="1"/>
  <c r="C24" i="15"/>
  <c r="C21" i="15"/>
  <c r="C18" i="15"/>
  <c r="C17" i="15"/>
  <c r="D8" i="15"/>
  <c r="D7" i="15"/>
  <c r="D5" i="15"/>
  <c r="D28" i="5"/>
  <c r="E5" i="17" s="1"/>
  <c r="W11" i="7" l="1"/>
  <c r="K29" i="15"/>
  <c r="H29" i="15"/>
  <c r="S29" i="15"/>
  <c r="T29" i="15"/>
  <c r="L29" i="15"/>
  <c r="P29" i="15"/>
  <c r="D21" i="17"/>
  <c r="M20" i="17" s="1"/>
  <c r="D6" i="7"/>
  <c r="C38" i="7" s="1"/>
  <c r="N30" i="17"/>
  <c r="J30" i="17"/>
  <c r="F30" i="17"/>
  <c r="M30" i="17"/>
  <c r="I30" i="17"/>
  <c r="G30" i="17"/>
  <c r="L30" i="17"/>
  <c r="K30" i="17"/>
  <c r="H30" i="17"/>
  <c r="L51" i="17"/>
  <c r="C4" i="8"/>
  <c r="B4" i="8"/>
  <c r="C33" i="8"/>
  <c r="B33" i="8"/>
  <c r="G51" i="17"/>
  <c r="L61" i="17"/>
  <c r="C49" i="8"/>
  <c r="B49" i="8"/>
  <c r="C68" i="8"/>
  <c r="B68" i="8"/>
  <c r="E30" i="17"/>
  <c r="C20" i="8"/>
  <c r="B20" i="8"/>
  <c r="C65" i="8"/>
  <c r="B65" i="8"/>
  <c r="C84" i="8"/>
  <c r="B84" i="8"/>
  <c r="N51" i="17"/>
  <c r="J51" i="17"/>
  <c r="F51" i="17"/>
  <c r="M51" i="17"/>
  <c r="I51" i="17"/>
  <c r="E51" i="17"/>
  <c r="C52" i="8"/>
  <c r="B52" i="8"/>
  <c r="N61" i="17"/>
  <c r="J61" i="17"/>
  <c r="F61" i="17"/>
  <c r="M61" i="17"/>
  <c r="I61" i="17"/>
  <c r="E61" i="17"/>
  <c r="D64" i="17" s="1"/>
  <c r="C5" i="1"/>
  <c r="D6" i="15"/>
  <c r="V29" i="15"/>
  <c r="R29" i="15"/>
  <c r="N29" i="15"/>
  <c r="J29" i="15"/>
  <c r="U29" i="15"/>
  <c r="Q29" i="15"/>
  <c r="M29" i="15"/>
  <c r="I29" i="15"/>
  <c r="K51" i="17"/>
  <c r="H61" i="17"/>
  <c r="C17" i="8"/>
  <c r="B17" i="8"/>
  <c r="C36" i="8"/>
  <c r="B36" i="8"/>
  <c r="C81" i="8"/>
  <c r="B81" i="8"/>
  <c r="C24" i="8"/>
  <c r="B24" i="8"/>
  <c r="C40" i="8"/>
  <c r="B40" i="8"/>
  <c r="C56" i="8"/>
  <c r="B56" i="8"/>
  <c r="C72" i="8"/>
  <c r="B72" i="8"/>
  <c r="C88" i="8"/>
  <c r="B88" i="8"/>
  <c r="B5" i="8"/>
  <c r="C12" i="8"/>
  <c r="B12" i="8"/>
  <c r="B21" i="8"/>
  <c r="C28" i="8"/>
  <c r="B28" i="8"/>
  <c r="B37" i="8"/>
  <c r="C44" i="8"/>
  <c r="B44" i="8"/>
  <c r="B53" i="8"/>
  <c r="C60" i="8"/>
  <c r="B60" i="8"/>
  <c r="B69" i="8"/>
  <c r="C76" i="8"/>
  <c r="B76" i="8"/>
  <c r="B85" i="8"/>
  <c r="C8" i="8"/>
  <c r="B8" i="8"/>
  <c r="C16" i="8"/>
  <c r="B16" i="8"/>
  <c r="B25" i="8"/>
  <c r="C32" i="8"/>
  <c r="B32" i="8"/>
  <c r="B41" i="8"/>
  <c r="C48" i="8"/>
  <c r="B48" i="8"/>
  <c r="B57" i="8"/>
  <c r="C64" i="8"/>
  <c r="B64" i="8"/>
  <c r="B73" i="8"/>
  <c r="C80" i="8"/>
  <c r="B80" i="8"/>
  <c r="B89" i="8"/>
  <c r="B92" i="8"/>
  <c r="C93" i="8"/>
  <c r="B94" i="8"/>
  <c r="C28" i="7" l="1"/>
  <c r="C16" i="7"/>
  <c r="C29" i="7"/>
  <c r="C32" i="7"/>
  <c r="C41" i="7"/>
  <c r="C35" i="7"/>
  <c r="N20" i="17"/>
  <c r="J20" i="17"/>
  <c r="L20" i="17"/>
  <c r="F20" i="17"/>
  <c r="G20" i="17"/>
  <c r="K20" i="17"/>
  <c r="I20" i="17"/>
  <c r="H20" i="17"/>
  <c r="C40" i="7"/>
  <c r="C36" i="7"/>
  <c r="C24" i="7"/>
  <c r="C27" i="7"/>
  <c r="C25" i="7"/>
  <c r="C39" i="7"/>
  <c r="C19" i="7"/>
  <c r="C14" i="7"/>
  <c r="C18" i="7"/>
  <c r="C12" i="7"/>
  <c r="C15" i="7"/>
  <c r="C17" i="7"/>
  <c r="C33" i="7"/>
  <c r="C30" i="7"/>
  <c r="C23" i="7"/>
  <c r="C13" i="7"/>
  <c r="C26" i="7"/>
  <c r="C20" i="7"/>
  <c r="C21" i="7"/>
  <c r="C37" i="7"/>
  <c r="C34" i="7"/>
  <c r="C22" i="7"/>
  <c r="C31" i="7"/>
  <c r="L63" i="17"/>
  <c r="H63" i="17"/>
  <c r="J63" i="17"/>
  <c r="I63" i="17"/>
  <c r="M63" i="17"/>
  <c r="E20" i="17"/>
  <c r="D54" i="17"/>
  <c r="K63" i="17"/>
  <c r="F63" i="17"/>
  <c r="G63" i="17"/>
  <c r="E63" i="17" s="1"/>
  <c r="M11" i="7"/>
  <c r="I11" i="7"/>
  <c r="L11" i="7"/>
  <c r="H11" i="7"/>
  <c r="J11" i="7"/>
  <c r="N11" i="7"/>
  <c r="F11" i="7"/>
  <c r="O11" i="7"/>
  <c r="G11" i="7"/>
  <c r="K11" i="7"/>
  <c r="N63" i="17"/>
  <c r="L53" i="17" l="1"/>
  <c r="H53" i="17"/>
  <c r="I53" i="17"/>
  <c r="M53" i="17"/>
  <c r="J53" i="17"/>
  <c r="G53" i="17"/>
  <c r="F53" i="17"/>
  <c r="K53" i="17"/>
  <c r="N53" i="17"/>
  <c r="P11" i="7"/>
  <c r="E53" i="17" l="1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<sst xmlns="http://schemas.openxmlformats.org/spreadsheetml/2006/main" count="1071" uniqueCount="625">
  <si>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</si>
  <si>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</si>
  <si>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</si>
  <si>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</si>
  <si>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</si>
  <si>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</si>
  <si>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</si>
  <si>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</si>
  <si>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</si>
  <si>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</si>
  <si>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</si>
  <si>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</si>
  <si>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</si>
  <si>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</si>
  <si>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</si>
  <si>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</si>
  <si>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</si>
  <si>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</si>
  <si>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</si>
  <si>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</si>
  <si>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</si>
  <si>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</si>
  <si>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</si>
  <si>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</si>
  <si>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</si>
  <si>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</si>
  <si>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</si>
  <si>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</si>
  <si>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</si>
  <si>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</si>
  <si>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</si>
  <si>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</si>
  <si>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</si>
  <si>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</si>
  <si>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</si>
  <si>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</si>
  <si>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</si>
  <si>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</si>
  <si>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</si>
  <si>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</si>
  <si>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</si>
  <si>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</si>
  <si>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</si>
  <si>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</si>
  <si>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</si>
  <si>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</si>
  <si>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</si>
  <si>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</si>
  <si>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</si>
  <si>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</si>
  <si>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</si>
  <si>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</si>
  <si>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</si>
  <si>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</si>
  <si>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</si>
  <si>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</si>
  <si>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</si>
  <si>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</si>
  <si>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</si>
  <si>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</si>
  <si>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</si>
  <si>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</si>
  <si>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</si>
  <si>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</si>
  <si>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</si>
  <si>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</si>
  <si>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</si>
  <si>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</si>
  <si>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</si>
  <si>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</si>
  <si>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</si>
  <si>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</si>
  <si>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</si>
  <si>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</si>
  <si>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</si>
  <si>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</si>
  <si>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</si>
  <si>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</si>
  <si>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</si>
  <si>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</si>
  <si>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</si>
  <si>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</si>
  <si>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</si>
  <si>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</si>
  <si>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</si>
  <si>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</si>
  <si>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</si>
  <si>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</si>
  <si>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</si>
  <si>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</si>
  <si>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</si>
  <si>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</si>
  <si>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</si>
  <si>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</si>
  <si>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</si>
  <si>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</si>
  <si>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</si>
  <si>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</si>
  <si>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</si>
  <si>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</si>
  <si>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</si>
  <si>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</si>
  <si>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</si>
  <si>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</si>
  <si>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</si>
  <si>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</si>
  <si>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</si>
  <si>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</si>
  <si>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</si>
  <si>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</si>
  <si>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</si>
  <si>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</si>
  <si>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</si>
  <si>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</si>
  <si>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</si>
  <si>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</si>
  <si>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</si>
  <si>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</si>
  <si>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</si>
  <si>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</si>
  <si>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</si>
  <si>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</si>
  <si>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</si>
  <si>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</si>
  <si>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</si>
  <si>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</si>
  <si>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</si>
  <si>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</si>
  <si>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</si>
  <si>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</si>
  <si>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</si>
  <si>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</si>
  <si>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</si>
  <si>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</si>
  <si>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</si>
  <si>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</si>
  <si>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</si>
  <si>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</si>
  <si>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</si>
  <si>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</si>
  <si>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</si>
  <si>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</si>
  <si>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</si>
  <si>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</si>
  <si>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</si>
  <si>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</si>
  <si>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</si>
  <si>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</si>
  <si>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</si>
  <si>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</si>
  <si>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</si>
  <si>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</si>
  <si>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</si>
  <si>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</si>
  <si>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</si>
  <si>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</si>
  <si>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</si>
  <si>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</si>
  <si>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</si>
  <si>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</si>
  <si>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</si>
  <si>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</si>
  <si>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</si>
  <si>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</si>
  <si>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</si>
  <si>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</si>
  <si>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</si>
  <si>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</si>
  <si>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</si>
  <si>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</si>
  <si>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</si>
  <si>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</si>
  <si>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</si>
  <si>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</si>
  <si>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</si>
  <si>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</si>
  <si>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</si>
  <si>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</si>
  <si>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</si>
  <si>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</si>
  <si>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</si>
  <si>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</si>
  <si>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</si>
  <si>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</si>
  <si>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</si>
  <si>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</si>
  <si>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</si>
  <si>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</si>
  <si>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</si>
  <si>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</si>
  <si>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</si>
  <si>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</si>
  <si>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</si>
  <si>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</si>
  <si>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</si>
  <si>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</si>
  <si>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</si>
  <si>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</si>
  <si>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</si>
  <si>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</si>
  <si>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</si>
  <si>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</si>
  <si>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</si>
  <si>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</si>
  <si>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</si>
  <si>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</si>
  <si>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</si>
  <si>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</si>
  <si>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</si>
  <si>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</si>
  <si>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</si>
  <si>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</si>
  <si>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</si>
  <si>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</si>
  <si>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</si>
  <si>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</si>
  <si>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</si>
  <si>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</si>
  <si>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</si>
  <si>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</si>
  <si>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</si>
  <si>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</si>
  <si>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</si>
  <si>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</si>
  <si>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</si>
  <si>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</si>
  <si>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</si>
  <si>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</si>
  <si>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</si>
  <si>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</si>
  <si>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</si>
  <si>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</si>
  <si>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</si>
  <si>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</si>
  <si>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</si>
  <si>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</si>
  <si>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</si>
  <si>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</si>
  <si>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</si>
  <si>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</si>
  <si>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</si>
  <si>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</si>
  <si>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</si>
  <si>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</si>
  <si>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</si>
  <si>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F-WT (Mo.)</t>
  </si>
  <si>
    <t>F-WT (Di.)</t>
  </si>
  <si>
    <t>F-WT (Mi.)</t>
  </si>
  <si>
    <t>F-WT (Do.)</t>
  </si>
  <si>
    <t>F-WT (Fr.)</t>
  </si>
  <si>
    <t>F-WT (Sa.)</t>
  </si>
  <si>
    <t>F-WT (So.)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</si>
  <si>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</si>
  <si>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</si>
  <si>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</si>
  <si>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</si>
  <si>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</si>
  <si>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</si>
  <si>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</si>
  <si>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</si>
  <si>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</si>
  <si>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</si>
  <si>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</si>
  <si>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</si>
  <si>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</si>
  <si>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</si>
  <si>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</si>
  <si>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</si>
  <si>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</si>
  <si>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</si>
  <si>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</si>
  <si>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</si>
  <si>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</si>
  <si>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</si>
  <si>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</si>
  <si>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</si>
  <si>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</si>
  <si>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</si>
  <si>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</si>
  <si>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</si>
  <si>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</si>
  <si>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</si>
  <si>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</si>
  <si>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</si>
  <si>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</si>
  <si>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</si>
  <si>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</si>
  <si>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</si>
  <si>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</si>
  <si>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</si>
  <si>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</si>
  <si>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</si>
  <si>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</si>
  <si>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</si>
  <si>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</si>
  <si>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</si>
  <si>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</si>
  <si>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</si>
  <si>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</si>
  <si>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</si>
  <si>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</si>
  <si>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</si>
  <si>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</si>
  <si>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</si>
  <si>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</si>
  <si>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</si>
  <si>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</si>
  <si>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</si>
  <si>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</si>
  <si>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</si>
  <si>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</si>
  <si>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</si>
  <si>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</si>
  <si>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</si>
  <si>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</si>
  <si>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</si>
  <si>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</si>
  <si>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</si>
  <si>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</si>
  <si>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</si>
  <si>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</si>
  <si>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</si>
  <si>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</si>
  <si>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</si>
  <si>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</si>
  <si>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</si>
  <si>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</si>
  <si>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</si>
  <si>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</si>
  <si>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</si>
  <si>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</si>
  <si>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</si>
  <si>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</si>
  <si>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</si>
  <si>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</si>
  <si>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</si>
  <si>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</si>
  <si>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</si>
  <si>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</si>
  <si>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</si>
  <si>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</si>
  <si>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</si>
  <si>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</si>
  <si>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</si>
  <si>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</si>
  <si>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</si>
  <si>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</si>
  <si>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</si>
  <si>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</si>
  <si>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</si>
  <si>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</si>
  <si>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</si>
  <si>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</si>
  <si>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</si>
  <si>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</si>
  <si>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</si>
  <si>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</si>
  <si>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</si>
  <si>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</si>
  <si>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</si>
  <si>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</si>
  <si>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</si>
  <si>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</si>
  <si>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</si>
  <si>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</si>
  <si>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</si>
  <si>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</si>
  <si>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</si>
  <si>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</si>
  <si>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</si>
  <si>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</si>
  <si>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</si>
  <si>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</si>
  <si>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</si>
  <si>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</si>
  <si>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</si>
  <si>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</si>
  <si>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</si>
  <si>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</si>
  <si>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</si>
  <si>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</si>
  <si>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</si>
  <si>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</si>
  <si>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</si>
  <si>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</si>
  <si>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</si>
  <si>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</si>
  <si>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</si>
  <si>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</si>
  <si>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</si>
  <si>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</si>
  <si>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</si>
  <si>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</si>
  <si>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</si>
  <si>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</si>
  <si>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</si>
  <si>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</si>
  <si>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</si>
  <si>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</si>
  <si>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</si>
  <si>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</si>
  <si>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</si>
  <si>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</si>
  <si>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</si>
  <si>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</si>
  <si>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</si>
  <si>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</si>
  <si>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</si>
  <si>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</si>
  <si>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</si>
  <si>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</si>
  <si>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</si>
  <si>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</si>
  <si>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</si>
  <si>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</si>
  <si>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</si>
  <si>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</si>
  <si>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</si>
  <si>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</si>
  <si>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</si>
  <si>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</si>
  <si>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</si>
  <si>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</si>
  <si>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</si>
  <si>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</si>
  <si>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</si>
  <si>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</si>
  <si>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</si>
  <si>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</si>
  <si>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</si>
  <si>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</si>
  <si>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</si>
  <si>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</si>
  <si>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</si>
  <si>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</si>
  <si>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</si>
  <si>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</si>
  <si>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</si>
  <si>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</si>
  <si>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</si>
  <si>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</si>
  <si>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</si>
  <si>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</si>
  <si>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</si>
  <si>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</si>
  <si>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</si>
  <si>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</si>
  <si>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</si>
  <si>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</si>
  <si>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</si>
  <si>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</si>
  <si>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</si>
  <si>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</si>
  <si>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</si>
  <si>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</si>
  <si>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</si>
  <si>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</si>
  <si>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</si>
  <si>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</si>
  <si>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</si>
  <si>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</si>
  <si>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</si>
  <si>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</si>
  <si>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</si>
  <si>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</si>
  <si>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</si>
  <si>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</si>
  <si>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</si>
  <si>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</si>
  <si>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</si>
  <si>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</si>
  <si>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</si>
  <si>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</si>
  <si>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</si>
  <si>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</si>
  <si>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</si>
  <si>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</si>
  <si>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</si>
  <si>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</si>
  <si>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</si>
  <si>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</si>
  <si>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</si>
  <si>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</si>
  <si>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</si>
  <si>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</si>
  <si>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</si>
  <si>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</si>
  <si>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</si>
  <si>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</si>
  <si>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</si>
  <si>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</si>
  <si>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</si>
  <si>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</si>
  <si>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</si>
  <si>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</si>
  <si>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</si>
  <si>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</si>
  <si>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</si>
  <si>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</si>
  <si>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</si>
  <si>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</si>
  <si>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</si>
  <si>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</si>
  <si>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</si>
  <si>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</si>
  <si>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</si>
  <si>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</si>
  <si>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</si>
  <si>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</si>
  <si>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</si>
  <si>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</si>
  <si>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</si>
  <si>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</si>
  <si>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</si>
  <si>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</si>
  <si>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</si>
  <si>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</si>
  <si>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</si>
  <si>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m(H)</t>
  </si>
  <si>
    <t>b(H)</t>
  </si>
  <si>
    <t>m(W)</t>
  </si>
  <si>
    <t>b(W)</t>
  </si>
  <si>
    <t>ϑ</t>
  </si>
  <si>
    <t>Bei Netzbetreibern mit Netzgebieten mit H-Gas und L-Gas sollten bitte für jedes Netzgebiet eine separate Datei ausfüllen.</t>
  </si>
  <si>
    <t>2.0</t>
  </si>
  <si>
    <t>(*)</t>
  </si>
  <si>
    <t>=&gt; Q(Allokation)  =  Q(Synth.); Fopt = 1</t>
  </si>
  <si>
    <t>=&gt; Q(Allokation)  =  Q(D-2);  Fopt = 1</t>
  </si>
  <si>
    <t>=&gt; Q(Allokation)  =  Q(Synth.) × Fopt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</si>
  <si>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</si>
  <si>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</si>
  <si>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</si>
  <si>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h(8°C) 
(F-WT = 1)</t>
  </si>
  <si>
    <t>BDEW Nomen-
klatur</t>
  </si>
  <si>
    <t>Gastag</t>
  </si>
  <si>
    <t>Kalendertag</t>
  </si>
  <si>
    <r>
      <t xml:space="preserve">Zur Excel-Tabelle mit den Veröffentlichungspflichten hat der VKU folgenden Hinweis: </t>
    </r>
    <r>
      <rPr>
        <i/>
        <sz val="10"/>
        <color theme="1"/>
        <rFont val="Arial"/>
        <family val="2"/>
      </rPr>
      <t xml:space="preserve">in Mappe „Bildungsregel Temperaturzeitreihe“ bitte Möglichkeit zur Benennung von zwei unterschiedlichen Wetterdienstleistern (jeweils für Prognose und für Ist-Messung) aufnehmen </t>
    </r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</si>
  <si>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</si>
  <si>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</si>
  <si>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</si>
  <si>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</si>
  <si>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</si>
  <si>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>Nummer des Temperturgebietes:</t>
  </si>
  <si>
    <t xml:space="preserve">Anzahl Temperaturen für Zeitreihengewichtung: </t>
  </si>
  <si>
    <t>Name der Station</t>
  </si>
  <si>
    <t>Textfeld</t>
  </si>
  <si>
    <t>Bei mehreren Temperaturgebieten je Netzgebiet jeweils ein weiteres "Excel-Tabellenblatt" je</t>
  </si>
  <si>
    <t>Temperaturgebiet einfügen. Bitte Temperaturgebiet-Nr. "##" in Namen des Excel-Tabellenblattes aufnehmen.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</si>
  <si>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</si>
  <si>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</si>
  <si>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</si>
  <si>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</si>
  <si>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</si>
  <si>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</si>
  <si>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</si>
  <si>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</si>
  <si>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</si>
  <si>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</si>
  <si>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</si>
  <si>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</si>
  <si>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</si>
  <si>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</si>
  <si>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</si>
  <si>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</si>
  <si>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</si>
  <si>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</si>
  <si>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</si>
  <si>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</si>
  <si>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</si>
  <si>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</si>
  <si>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</si>
  <si>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</si>
  <si>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</si>
  <si>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</si>
  <si>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</si>
  <si>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</si>
  <si>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</si>
  <si>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</si>
  <si>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</si>
  <si>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</si>
  <si>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</si>
  <si>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</si>
  <si>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</si>
  <si>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</si>
  <si>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</si>
  <si>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</si>
  <si>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</si>
  <si>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</si>
  <si>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</si>
  <si>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Temperaturversatz - Knickpunkt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</si>
  <si>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</si>
  <si>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</si>
  <si>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</si>
  <si>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</si>
  <si>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</si>
  <si>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</si>
  <si>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</si>
  <si>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</si>
  <si>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</si>
  <si>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</si>
  <si>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</si>
  <si>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</si>
  <si>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Fopt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</si>
  <si>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</si>
  <si>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</si>
  <si>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</si>
  <si>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</si>
  <si>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</si>
  <si>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DEF-St.</t>
  </si>
  <si>
    <t>verwendeter Feiertagskalender des Netzgebiets</t>
  </si>
  <si>
    <t>Tobias Lietz</t>
  </si>
  <si>
    <t>t.lietz@evuservices.de</t>
  </si>
  <si>
    <t>04321 4990 380</t>
  </si>
  <si>
    <t>DE_GMK04</t>
  </si>
  <si>
    <t>DE_GKO04</t>
  </si>
  <si>
    <t>DE_GHA04</t>
  </si>
  <si>
    <t>Am Wasserwerk 5</t>
  </si>
  <si>
    <t>Bad Segeberg</t>
  </si>
  <si>
    <t>EWS Netz</t>
  </si>
  <si>
    <t>GASPOOLNH7010561</t>
  </si>
  <si>
    <t>Quickborn</t>
  </si>
  <si>
    <t>DE_HEF05</t>
  </si>
  <si>
    <t>DE_HMF05</t>
  </si>
  <si>
    <t>ews-Netz GmbH</t>
  </si>
  <si>
    <t>9870105600000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</si>
</sst>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0" fillId="37" borderId="17" xfId="0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0" fillId="64" borderId="0" xfId="0" applyFont="1" applyFill="1" applyBorder="1" applyAlignment="1" applyProtection="1">
      <alignment horizontal="center" vertical="center"/>
      <protection locked="0"/>
    </xf>
    <xf numFmtId="183" fontId="0" fillId="64" borderId="0" xfId="0" applyNumberFormat="1" applyFont="1" applyFill="1" applyBorder="1" applyAlignment="1" applyProtection="1">
      <alignment horizontal="center" vertical="center"/>
      <protection locked="0"/>
    </xf>
    <xf numFmtId="168" fontId="0" fillId="64" borderId="0" xfId="0" applyNumberFormat="1" applyFont="1" applyFill="1" applyBorder="1" applyAlignment="1" applyProtection="1">
      <alignment horizontal="center" vertical="center"/>
      <protection locked="0"/>
    </xf>
    <xf numFmtId="183" fontId="0" fillId="64" borderId="0" xfId="0" applyNumberFormat="1" applyFont="1" applyFill="1" applyBorder="1" applyAlignment="1" applyProtection="1">
      <alignment vertical="center"/>
      <protection locked="0"/>
    </xf>
    <xf numFmtId="165" fontId="0" fillId="64" borderId="0" xfId="0" applyNumberFormat="1" applyFont="1" applyFill="1" applyBorder="1" applyAlignment="1" applyProtection="1">
      <alignment horizontal="center" vertical="center"/>
      <protection locked="0"/>
    </xf>
    <xf numFmtId="165" fontId="0" fillId="64" borderId="41" xfId="0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3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4" xfId="0" applyFont="1" applyFill="1" applyBorder="1" applyAlignment="1" applyProtection="1">
      <alignment horizontal="center" vertical="center" wrapText="1"/>
      <protection locked="0"/>
    </xf>
    <xf numFmtId="0" fontId="12" fillId="33" borderId="53" xfId="0" applyFont="1" applyFill="1" applyBorder="1" applyAlignment="1" applyProtection="1">
      <alignment horizontal="center" vertical="center" wrapText="1"/>
      <protection locked="0"/>
    </xf>
    <xf numFmtId="0" fontId="12" fillId="33" borderId="57" xfId="0" applyFont="1" applyFill="1" applyBorder="1" applyAlignment="1" applyProtection="1">
      <alignment horizontal="center" vertical="center" wrapText="1"/>
      <protection locked="0"/>
    </xf>
    <xf numFmtId="0" fontId="12" fillId="33" borderId="55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50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42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51" xfId="0" applyFont="1" applyFill="1" applyBorder="1" applyAlignment="1" applyProtection="1">
      <alignment horizontal="center" vertical="center"/>
      <protection locked="0"/>
    </xf>
    <xf numFmtId="0" fontId="12" fillId="71" borderId="52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textRotation="90" wrapText="1"/>
    </xf>
    <xf numFmtId="0" fontId="0" fillId="0" borderId="66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7" xfId="0" applyFont="1" applyBorder="1" applyAlignment="1" applyProtection="1">
      <alignment textRotation="90" wrapText="1"/>
    </xf>
    <xf numFmtId="0" fontId="0" fillId="0" borderId="67" xfId="0" applyFont="1" applyBorder="1" applyAlignment="1" applyProtection="1">
      <alignment horizontal="center" textRotation="90" wrapText="1"/>
    </xf>
    <xf numFmtId="0" fontId="0" fillId="0" borderId="68" xfId="0" applyFont="1" applyBorder="1" applyAlignment="1" applyProtection="1">
      <alignment horizontal="center" textRotation="90" wrapText="1"/>
    </xf>
    <xf numFmtId="0" fontId="75" fillId="0" borderId="68" xfId="0" applyFont="1" applyBorder="1" applyAlignment="1" applyProtection="1">
      <alignment horizontal="center" textRotation="90" wrapText="1"/>
    </xf>
    <xf numFmtId="0" fontId="7" fillId="0" borderId="53" xfId="0" applyFont="1" applyBorder="1" applyProtection="1"/>
    <xf numFmtId="0" fontId="12" fillId="0" borderId="54" xfId="3" applyFont="1" applyBorder="1" applyProtection="1"/>
    <xf numFmtId="0" fontId="12" fillId="0" borderId="44" xfId="3" applyFont="1" applyBorder="1" applyAlignment="1" applyProtection="1">
      <alignment horizontal="center"/>
    </xf>
    <xf numFmtId="0" fontId="12" fillId="0" borderId="44" xfId="3" applyFont="1" applyFill="1" applyBorder="1" applyAlignment="1" applyProtection="1">
      <alignment horizontal="center" vertical="center"/>
    </xf>
    <xf numFmtId="0" fontId="7" fillId="0" borderId="70" xfId="0" applyFont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9" xfId="0" applyFont="1" applyBorder="1" applyAlignment="1" applyProtection="1">
      <alignment horizontal="center" vertical="center"/>
    </xf>
    <xf numFmtId="0" fontId="7" fillId="0" borderId="65" xfId="0" applyFont="1" applyBorder="1" applyProtection="1"/>
    <xf numFmtId="0" fontId="12" fillId="0" borderId="59" xfId="3" applyFont="1" applyBorder="1" applyProtection="1"/>
    <xf numFmtId="0" fontId="12" fillId="0" borderId="65" xfId="3" applyFont="1" applyBorder="1" applyAlignment="1" applyProtection="1">
      <alignment horizontal="center"/>
    </xf>
    <xf numFmtId="0" fontId="76" fillId="0" borderId="72" xfId="3" applyFont="1" applyBorder="1" applyAlignment="1" applyProtection="1">
      <alignment horizont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63" xfId="0" applyFont="1" applyBorder="1" applyProtection="1"/>
    <xf numFmtId="0" fontId="12" fillId="0" borderId="19" xfId="3" applyFont="1" applyBorder="1" applyProtection="1"/>
    <xf numFmtId="0" fontId="76" fillId="0" borderId="63" xfId="3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3" xfId="0" applyFont="1" applyBorder="1" applyProtection="1"/>
    <xf numFmtId="0" fontId="0" fillId="0" borderId="64" xfId="0" applyFont="1" applyBorder="1" applyProtection="1"/>
    <xf numFmtId="0" fontId="12" fillId="0" borderId="61" xfId="3" applyFont="1" applyBorder="1" applyProtection="1"/>
    <xf numFmtId="0" fontId="12" fillId="0" borderId="15" xfId="3" applyFont="1" applyBorder="1" applyAlignment="1" applyProtection="1">
      <alignment horizontal="center"/>
    </xf>
    <xf numFmtId="0" fontId="76" fillId="0" borderId="64" xfId="3" applyFont="1" applyBorder="1" applyAlignment="1" applyProtection="1">
      <alignment horizont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72" borderId="54" xfId="0" applyFont="1" applyFill="1" applyBorder="1" applyAlignment="1" applyProtection="1">
      <alignment vertical="center"/>
    </xf>
    <xf numFmtId="0" fontId="0" fillId="72" borderId="54" xfId="0" applyFont="1" applyFill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5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3" xfId="0" applyFill="1" applyBorder="1" applyAlignment="1" applyProtection="1">
      <alignment horizontal="left" vertical="center"/>
    </xf>
    <xf numFmtId="14" fontId="7" fillId="72" borderId="54" xfId="0" applyNumberFormat="1" applyFont="1" applyFill="1" applyBorder="1" applyAlignment="1" applyProtection="1">
      <alignment horizontal="center" vertical="center"/>
    </xf>
    <xf numFmtId="0" fontId="0" fillId="37" borderId="73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73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4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0" fontId="16" fillId="0" borderId="0" xfId="0" applyFont="1"/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65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182" fontId="12" fillId="64" borderId="0" xfId="0" applyNumberFormat="1" applyFont="1" applyFill="1" applyProtection="1">
      <protection hidden="1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4" xfId="0" applyFont="1" applyFill="1" applyBorder="1" applyAlignment="1" applyProtection="1">
      <alignment horizontal="center" vertical="center"/>
      <protection locked="0"/>
    </xf>
    <xf numFmtId="0" fontId="0" fillId="64" borderId="76" xfId="0" applyFont="1" applyFill="1" applyBorder="1" applyAlignment="1" applyProtection="1">
      <alignment horizontal="center" vertical="center"/>
      <protection locked="0"/>
    </xf>
    <xf numFmtId="0" fontId="0" fillId="64" borderId="76" xfId="0" applyFill="1" applyBorder="1" applyAlignment="1" applyProtection="1">
      <alignment horizontal="center" vertical="center"/>
      <protection locked="0"/>
    </xf>
    <xf numFmtId="190" fontId="0" fillId="72" borderId="54" xfId="0" applyNumberFormat="1" applyFont="1" applyFill="1" applyBorder="1" applyAlignment="1" applyProtection="1">
      <alignment horizontal="center" vertical="center"/>
    </xf>
    <xf numFmtId="190" fontId="0" fillId="64" borderId="0" xfId="0" applyNumberFormat="1" applyFont="1" applyFill="1" applyBorder="1" applyAlignment="1" applyProtection="1">
      <alignment horizontal="center" vertical="center"/>
      <protection locked="0"/>
    </xf>
    <xf numFmtId="191" fontId="0" fillId="72" borderId="54" xfId="0" applyNumberFormat="1" applyFont="1" applyFill="1" applyBorder="1" applyAlignment="1" applyProtection="1">
      <alignment horizontal="center" vertical="center"/>
    </xf>
    <xf numFmtId="191" fontId="0" fillId="72" borderId="55" xfId="0" applyNumberFormat="1" applyFont="1" applyFill="1" applyBorder="1" applyAlignment="1" applyProtection="1">
      <alignment horizontal="center" vertical="center"/>
    </xf>
    <xf numFmtId="191" fontId="0" fillId="64" borderId="0" xfId="0" applyNumberFormat="1" applyFont="1" applyFill="1" applyBorder="1" applyAlignment="1" applyProtection="1">
      <alignment horizontal="center" vertical="center"/>
      <protection locked="0"/>
    </xf>
    <xf numFmtId="191" fontId="0" fillId="64" borderId="4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167" fontId="0" fillId="0" borderId="17" xfId="0" applyNumberFormat="1" applyFont="1" applyFill="1" applyBorder="1" applyAlignment="1" applyProtection="1">
      <alignment horizontal="left" vertical="center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5" xfId="0" applyFont="1" applyFill="1" applyBorder="1" applyProtection="1"/>
    <xf numFmtId="0" fontId="0" fillId="37" borderId="46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167" fontId="0" fillId="65" borderId="0" xfId="0" applyNumberFormat="1" applyFont="1" applyFill="1" applyBorder="1" applyAlignment="1" applyProtection="1">
      <alignment horizontal="center"/>
    </xf>
    <xf numFmtId="0" fontId="0" fillId="65" borderId="0" xfId="0" applyFont="1" applyFill="1" applyBorder="1" applyAlignment="1" applyProtection="1">
      <alignment horizont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4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92" fontId="0" fillId="64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7" xfId="0" applyFill="1" applyBorder="1" applyProtection="1"/>
    <xf numFmtId="0" fontId="0" fillId="36" borderId="12" xfId="0" applyFill="1" applyBorder="1" applyProtection="1"/>
    <xf numFmtId="178" fontId="0" fillId="0" borderId="0" xfId="1" applyNumberFormat="1" applyFont="1" applyBorder="1" applyProtection="1"/>
    <xf numFmtId="178" fontId="0" fillId="0" borderId="0" xfId="1" applyNumberFormat="1" applyFont="1" applyBorder="1" applyAlignment="1" applyProtection="1">
      <alignment vertical="center"/>
    </xf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8" xfId="0" applyFill="1" applyBorder="1" applyProtection="1"/>
    <xf numFmtId="178" fontId="12" fillId="34" borderId="0" xfId="1" applyNumberFormat="1" applyFont="1" applyFill="1" applyBorder="1" applyProtection="1"/>
    <xf numFmtId="179" fontId="12" fillId="34" borderId="0" xfId="1" applyNumberFormat="1" applyFont="1" applyFill="1" applyBorder="1" applyAlignment="1" applyProtection="1">
      <alignment horizontal="center"/>
    </xf>
    <xf numFmtId="180" fontId="12" fillId="34" borderId="0" xfId="1" applyNumberFormat="1" applyFont="1" applyFill="1" applyBorder="1" applyProtection="1"/>
    <xf numFmtId="180" fontId="12" fillId="34" borderId="18" xfId="1" applyNumberFormat="1" applyFont="1" applyFill="1" applyBorder="1" applyProtection="1"/>
    <xf numFmtId="178" fontId="0" fillId="34" borderId="0" xfId="1" applyNumberFormat="1" applyFont="1" applyFill="1" applyBorder="1" applyProtection="1"/>
    <xf numFmtId="179" fontId="0" fillId="34" borderId="0" xfId="1" applyNumberFormat="1" applyFont="1" applyFill="1" applyBorder="1" applyAlignment="1" applyProtection="1">
      <alignment horizontal="center"/>
    </xf>
    <xf numFmtId="180" fontId="0" fillId="34" borderId="0" xfId="1" applyNumberFormat="1" applyFont="1" applyFill="1" applyBorder="1" applyProtection="1"/>
    <xf numFmtId="180" fontId="0" fillId="34" borderId="18" xfId="1" applyNumberFormat="1" applyFont="1" applyFill="1" applyBorder="1" applyProtection="1"/>
    <xf numFmtId="0" fontId="0" fillId="0" borderId="40" xfId="0" applyBorder="1" applyProtection="1"/>
    <xf numFmtId="0" fontId="0" fillId="36" borderId="71" xfId="0" applyFill="1" applyBorder="1" applyProtection="1"/>
    <xf numFmtId="0" fontId="0" fillId="36" borderId="15" xfId="0" applyFill="1" applyBorder="1" applyProtection="1"/>
    <xf numFmtId="178" fontId="0" fillId="0" borderId="40" xfId="1" applyNumberFormat="1" applyFont="1" applyBorder="1" applyProtection="1"/>
    <xf numFmtId="179" fontId="0" fillId="0" borderId="40" xfId="1" applyNumberFormat="1" applyFont="1" applyBorder="1" applyAlignment="1" applyProtection="1">
      <alignment horizontal="center"/>
    </xf>
    <xf numFmtId="180" fontId="0" fillId="0" borderId="40" xfId="1" applyNumberFormat="1" applyFont="1" applyBorder="1" applyProtection="1"/>
    <xf numFmtId="180" fontId="0" fillId="0" borderId="39" xfId="1" applyNumberFormat="1" applyFont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3" xfId="3" applyFont="1" applyBorder="1" applyAlignment="1" applyProtection="1">
      <alignment horizontal="left" vertical="center"/>
    </xf>
    <xf numFmtId="0" fontId="76" fillId="0" borderId="54" xfId="3" applyFont="1" applyBorder="1" applyAlignment="1" applyProtection="1">
      <alignment horizontal="left" vertical="center"/>
    </xf>
    <xf numFmtId="0" fontId="76" fillId="0" borderId="55" xfId="3" applyFont="1" applyBorder="1" applyAlignment="1" applyProtection="1">
      <alignment horizontal="left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 wrapText="1"/>
    </xf>
    <xf numFmtId="0" fontId="0" fillId="0" borderId="54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1" fontId="0" fillId="33" borderId="17" xfId="0" quotePrefix="1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3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FFF99"/>
      <color rgb="FFFFFFCC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10</xdr:col>
      <xdr:colOff>684770</xdr:colOff>
      <xdr:row>26</xdr:row>
      <xdr:rowOff>170810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247620" cy="512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253366</xdr:rowOff>
    </xdr:from>
    <xdr:to>
      <xdr:col>2</xdr:col>
      <xdr:colOff>379095</xdr:colOff>
      <xdr:row>0</xdr:row>
      <xdr:rowOff>775336</xdr:rowOff>
    </xdr:to>
    <xdr:pic>
      <xdr:nvPicPr>
        <xdr:cNvPr id="4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53366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748189</xdr:colOff>
      <xdr:row>0</xdr:row>
      <xdr:rowOff>765810</xdr:rowOff>
    </xdr:to>
    <xdr:pic>
      <xdr:nvPicPr>
        <xdr:cNvPr id="21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970597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748189</xdr:colOff>
      <xdr:row>0</xdr:row>
      <xdr:rowOff>765810</xdr:rowOff>
    </xdr:to>
    <xdr:pic>
      <xdr:nvPicPr>
        <xdr:cNvPr id="3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38</xdr:row>
      <xdr:rowOff>184755</xdr:rowOff>
    </xdr:from>
    <xdr:to>
      <xdr:col>14</xdr:col>
      <xdr:colOff>1593488</xdr:colOff>
      <xdr:row>45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783907</xdr:colOff>
      <xdr:row>0</xdr:row>
      <xdr:rowOff>765810</xdr:rowOff>
    </xdr:to>
    <xdr:pic>
      <xdr:nvPicPr>
        <xdr:cNvPr id="4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104774</xdr:rowOff>
    </xdr:from>
    <xdr:to>
      <xdr:col>12</xdr:col>
      <xdr:colOff>390525</xdr:colOff>
      <xdr:row>23</xdr:row>
      <xdr:rowOff>57149</xdr:rowOff>
    </xdr:to>
    <xdr:sp macro="" textlink="">
      <xdr:nvSpPr>
        <xdr:cNvPr id="2" name="Textfeld 1"/>
        <xdr:cNvSpPr txBox="1"/>
      </xdr:nvSpPr>
      <xdr:spPr>
        <a:xfrm rot="21206348">
          <a:off x="3895725" y="3009899"/>
          <a:ext cx="5124450" cy="1095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/>
            <a:t>ENTWURF</a:t>
          </a:r>
        </a:p>
        <a:p>
          <a:pPr algn="ctr"/>
          <a:r>
            <a:rPr lang="en-US" sz="3200"/>
            <a:t>vorläufige Werte !</a:t>
          </a:r>
        </a:p>
      </xdr:txBody>
    </xdr:sp>
    <xdr:clientData/>
  </xdr:twoCellAnchor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605314</xdr:colOff>
      <xdr:row>0</xdr:row>
      <xdr:rowOff>765810</xdr:rowOff>
    </xdr:to>
    <xdr:pic>
      <xdr:nvPicPr>
        <xdr:cNvPr id="10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113348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129064</xdr:colOff>
      <xdr:row>0</xdr:row>
      <xdr:rowOff>765810</xdr:rowOff>
    </xdr:to>
    <xdr:pic>
      <xdr:nvPicPr>
        <xdr:cNvPr id="3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202247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8</xdr:row>
      <xdr:rowOff>142875</xdr:rowOff>
    </xdr:from>
    <xdr:to>
      <xdr:col>9</xdr:col>
      <xdr:colOff>476250</xdr:colOff>
      <xdr:row>14</xdr:row>
      <xdr:rowOff>95250</xdr:rowOff>
    </xdr:to>
    <xdr:sp macro="" textlink="">
      <xdr:nvSpPr>
        <xdr:cNvPr id="2" name="Textfeld 1"/>
        <xdr:cNvSpPr txBox="1"/>
      </xdr:nvSpPr>
      <xdr:spPr>
        <a:xfrm rot="21206348">
          <a:off x="4295775" y="1800225"/>
          <a:ext cx="5124450" cy="1095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/>
            <a:t>ENTWURF</a:t>
          </a:r>
        </a:p>
        <a:p>
          <a:pPr algn="ctr"/>
          <a:r>
            <a:rPr lang="en-US" sz="3200"/>
            <a:t>vorläufige Werte 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8"/>
  <sheetViews>
    <sheetView workbookViewId="0">
      <selection activeCell="E28" sqref="E28"/>
    </sheetView>
  </sheetViews>
  <sheetFormatPr baseColWidth="10" defaultRowHeight="15"/>
  <cols>
    <col min="1" max="16384" width="11.42578125" style="8"/>
  </cols>
  <sheetData>
    <row r="28" spans="1:1">
      <c r="A28" s="171" t="s">
        <v>536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G18" sqref="G18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476</v>
      </c>
    </row>
    <row r="3" spans="2:7"/>
    <row r="4" spans="2:7">
      <c r="B4" s="8" t="s">
        <v>471</v>
      </c>
    </row>
    <row r="5" spans="2:7">
      <c r="B5" s="8" t="s">
        <v>472</v>
      </c>
    </row>
    <row r="6" spans="2:7"/>
    <row r="7" spans="2:7">
      <c r="B7" t="s">
        <v>346</v>
      </c>
    </row>
    <row r="8" spans="2:7" s="8" customFormat="1">
      <c r="B8" s="8" t="s">
        <v>473</v>
      </c>
    </row>
    <row r="9" spans="2:7" s="8" customFormat="1"/>
    <row r="10" spans="2:7" s="8" customFormat="1">
      <c r="B10" s="14" t="s">
        <v>458</v>
      </c>
    </row>
    <row r="11" spans="2:7" s="8" customFormat="1">
      <c r="B11" s="8" t="s">
        <v>509</v>
      </c>
    </row>
    <row r="12" spans="2:7" s="8" customFormat="1">
      <c r="B12" s="8" t="s">
        <v>510</v>
      </c>
    </row>
    <row r="13" spans="2:7" s="8" customFormat="1">
      <c r="B13" s="8" t="s">
        <v>523</v>
      </c>
    </row>
    <row r="14" spans="2:7" s="8" customFormat="1"/>
    <row r="15" spans="2:7">
      <c r="B15" s="21" t="s">
        <v>475</v>
      </c>
      <c r="C15" s="15"/>
    </row>
    <row r="16" spans="2:7">
      <c r="B16" s="15"/>
      <c r="C16" s="15"/>
      <c r="G16" s="10"/>
    </row>
    <row r="17" spans="2:12">
      <c r="B17" s="17" t="s">
        <v>353</v>
      </c>
      <c r="C17" s="15"/>
    </row>
    <row r="18" spans="2:12" s="8" customFormat="1">
      <c r="B18" s="18" t="s">
        <v>347</v>
      </c>
      <c r="C18" s="15"/>
    </row>
    <row r="19" spans="2:12" s="8" customFormat="1">
      <c r="B19" s="18" t="s">
        <v>348</v>
      </c>
      <c r="C19" s="15"/>
    </row>
    <row r="20" spans="2:12">
      <c r="B20" s="17"/>
      <c r="C20" s="15"/>
    </row>
    <row r="21" spans="2:12">
      <c r="B21" s="3" t="s">
        <v>474</v>
      </c>
      <c r="C21" s="15"/>
    </row>
    <row r="22" spans="2:12" s="8" customFormat="1">
      <c r="B22" s="18" t="s">
        <v>349</v>
      </c>
      <c r="C22" s="15"/>
    </row>
    <row r="23" spans="2:12" s="8" customFormat="1">
      <c r="B23" s="18" t="s">
        <v>350</v>
      </c>
      <c r="C23" s="15"/>
    </row>
    <row r="24" spans="2:12">
      <c r="B24" s="17"/>
      <c r="C24" s="15"/>
    </row>
    <row r="25" spans="2:12">
      <c r="B25" s="17" t="s">
        <v>354</v>
      </c>
      <c r="C25" s="15"/>
    </row>
    <row r="26" spans="2:12">
      <c r="B26" s="18" t="s">
        <v>351</v>
      </c>
      <c r="C26" s="15"/>
      <c r="F26" s="8"/>
      <c r="G26" s="8"/>
      <c r="H26" s="8"/>
    </row>
    <row r="27" spans="2:12">
      <c r="B27" s="18" t="s">
        <v>352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2" t="s">
        <v>355</v>
      </c>
      <c r="C29" s="19">
        <v>42086</v>
      </c>
      <c r="E29" s="8"/>
      <c r="F29" s="8"/>
      <c r="G29" s="8"/>
      <c r="H29" s="8"/>
    </row>
    <row r="30" spans="2:12">
      <c r="B30" s="22" t="s">
        <v>356</v>
      </c>
      <c r="C30" s="20" t="s">
        <v>524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-0.249977111117893"/>
    <pageSetUpPr fitToPage="1"/>
  </sheetPr>
  <dimension ref="A1:O50"/>
  <sheetViews>
    <sheetView showGridLines="0" tabSelected="1" zoomScale="80" zoomScaleNormal="80" workbookViewId="0">
      <selection activeCell="D12" sqref="D1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266</v>
      </c>
    </row>
    <row r="3" spans="1:8" ht="15" customHeight="1">
      <c r="B3" s="23"/>
      <c r="C3" s="15"/>
      <c r="D3" s="15"/>
      <c r="E3" s="15"/>
      <c r="F3" s="15"/>
    </row>
    <row r="4" spans="1:8" ht="15" customHeight="1">
      <c r="B4" s="23"/>
      <c r="C4" s="74" t="s">
        <v>513</v>
      </c>
      <c r="D4" s="28">
        <v>42060</v>
      </c>
      <c r="E4" s="15"/>
      <c r="F4" s="12"/>
      <c r="G4" s="2"/>
    </row>
    <row r="5" spans="1:8" ht="15" customHeight="1">
      <c r="B5" s="23"/>
      <c r="C5" s="15"/>
      <c r="D5" s="15"/>
      <c r="E5" s="15"/>
      <c r="F5" s="48"/>
      <c r="G5" s="2"/>
    </row>
    <row r="6" spans="1:8" ht="15" customHeight="1">
      <c r="B6" s="23"/>
      <c r="C6" s="74" t="s">
        <v>514</v>
      </c>
      <c r="D6" s="28">
        <v>42278</v>
      </c>
      <c r="E6" s="15"/>
      <c r="F6" s="48"/>
      <c r="G6" s="2"/>
      <c r="H6" s="2"/>
    </row>
    <row r="7" spans="1:8" ht="15" customHeight="1">
      <c r="B7" s="23"/>
      <c r="C7" s="15"/>
      <c r="D7" s="15"/>
      <c r="E7" s="15"/>
      <c r="F7" s="12"/>
      <c r="G7" s="2"/>
      <c r="H7" s="2"/>
    </row>
    <row r="8" spans="1:8" ht="15" customHeight="1">
      <c r="B8" s="23"/>
      <c r="C8" s="25"/>
      <c r="D8" s="15"/>
      <c r="E8" s="15"/>
      <c r="F8" s="48"/>
      <c r="G8" s="2"/>
    </row>
    <row r="9" spans="1:8" ht="15" customHeight="1">
      <c r="B9" s="24" t="s">
        <v>71</v>
      </c>
      <c r="C9" s="5" t="s">
        <v>269</v>
      </c>
      <c r="D9" s="42" t="s">
        <v>623</v>
      </c>
      <c r="E9" s="15"/>
      <c r="F9" s="48"/>
      <c r="G9" s="2"/>
    </row>
    <row r="10" spans="1:8" ht="15" customHeight="1">
      <c r="B10" s="23"/>
      <c r="C10" s="5"/>
      <c r="D10" s="29"/>
      <c r="E10" s="15"/>
      <c r="F10" s="48"/>
      <c r="G10" s="2"/>
    </row>
    <row r="11" spans="1:8" s="2" customFormat="1" ht="15" customHeight="1">
      <c r="A11" s="8"/>
      <c r="B11" s="24" t="s">
        <v>72</v>
      </c>
      <c r="C11" s="4" t="s">
        <v>496</v>
      </c>
      <c r="D11" s="333" t="s">
        <v>624</v>
      </c>
      <c r="E11" s="15"/>
      <c r="F11" s="48"/>
    </row>
    <row r="12" spans="1:8" s="2" customFormat="1" ht="15" customHeight="1">
      <c r="A12" s="8"/>
      <c r="B12" s="23"/>
      <c r="C12" s="5"/>
      <c r="D12" s="29"/>
      <c r="E12" s="15"/>
      <c r="F12" s="48"/>
    </row>
    <row r="13" spans="1:8" ht="15" customHeight="1">
      <c r="B13" s="24" t="s">
        <v>73</v>
      </c>
      <c r="C13" s="5" t="s">
        <v>270</v>
      </c>
      <c r="D13" s="42" t="s">
        <v>616</v>
      </c>
      <c r="E13" s="15"/>
      <c r="F13" s="48"/>
      <c r="G13" s="2"/>
    </row>
    <row r="14" spans="1:8" ht="15" customHeight="1">
      <c r="B14" s="23"/>
      <c r="C14" s="5"/>
      <c r="D14" s="30"/>
      <c r="E14" s="15"/>
      <c r="F14" s="48"/>
      <c r="G14" s="2"/>
    </row>
    <row r="15" spans="1:8" ht="15" customHeight="1">
      <c r="B15" s="24" t="s">
        <v>74</v>
      </c>
      <c r="C15" s="5" t="s">
        <v>271</v>
      </c>
      <c r="D15" s="44">
        <v>23795</v>
      </c>
      <c r="E15" s="15"/>
      <c r="F15" s="48"/>
      <c r="G15" s="2"/>
    </row>
    <row r="16" spans="1:8" ht="15" customHeight="1">
      <c r="B16" s="23"/>
      <c r="C16" s="5"/>
      <c r="D16" s="30"/>
      <c r="E16" s="15"/>
      <c r="F16" s="48"/>
      <c r="G16" s="2"/>
    </row>
    <row r="17" spans="1:15" ht="15" customHeight="1">
      <c r="B17" s="24" t="s">
        <v>75</v>
      </c>
      <c r="C17" s="5" t="s">
        <v>272</v>
      </c>
      <c r="D17" s="42" t="s">
        <v>617</v>
      </c>
      <c r="E17" s="15"/>
      <c r="F17" s="48"/>
      <c r="G17" s="2"/>
    </row>
    <row r="18" spans="1:15" ht="15" customHeight="1">
      <c r="B18" s="23"/>
      <c r="C18" s="5"/>
      <c r="D18" s="30"/>
      <c r="E18" s="15"/>
      <c r="F18" s="48"/>
      <c r="G18" s="2"/>
    </row>
    <row r="19" spans="1:15" ht="15" customHeight="1">
      <c r="B19" s="24" t="s">
        <v>76</v>
      </c>
      <c r="C19" s="5" t="s">
        <v>273</v>
      </c>
      <c r="D19" s="42" t="s">
        <v>610</v>
      </c>
      <c r="E19" s="15"/>
      <c r="F19" s="48"/>
      <c r="G19" s="2"/>
    </row>
    <row r="20" spans="1:15" ht="15" customHeight="1">
      <c r="B20" s="23"/>
      <c r="C20" s="5"/>
      <c r="D20" s="30"/>
      <c r="E20" s="15"/>
      <c r="F20" s="48"/>
      <c r="G20" s="2"/>
    </row>
    <row r="21" spans="1:15" ht="15" customHeight="1">
      <c r="B21" s="24" t="s">
        <v>77</v>
      </c>
      <c r="C21" s="5" t="s">
        <v>274</v>
      </c>
      <c r="D21" s="45" t="s">
        <v>611</v>
      </c>
      <c r="E21" s="15"/>
      <c r="F21" s="48"/>
      <c r="G21" s="2"/>
    </row>
    <row r="22" spans="1:15" ht="15" customHeight="1">
      <c r="B22" s="23"/>
      <c r="C22" s="5"/>
      <c r="D22" s="30"/>
      <c r="E22" s="15"/>
      <c r="F22" s="48"/>
      <c r="G22" s="2"/>
    </row>
    <row r="23" spans="1:15" ht="15" customHeight="1">
      <c r="B23" s="24" t="s">
        <v>78</v>
      </c>
      <c r="C23" s="5" t="s">
        <v>275</v>
      </c>
      <c r="D23" s="42" t="s">
        <v>612</v>
      </c>
      <c r="E23" s="15"/>
      <c r="F23" s="48"/>
      <c r="G23" s="2"/>
    </row>
    <row r="24" spans="1:15" s="2" customFormat="1" ht="15" customHeight="1">
      <c r="A24" s="8"/>
      <c r="B24" s="24"/>
      <c r="C24" s="26"/>
      <c r="D24" s="27"/>
      <c r="E24" s="27"/>
      <c r="F24" s="3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4" t="s">
        <v>79</v>
      </c>
      <c r="C25" s="5" t="s">
        <v>497</v>
      </c>
      <c r="D25" s="43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4"/>
      <c r="C26" s="26"/>
      <c r="D26" s="27"/>
      <c r="E26" s="27"/>
      <c r="F26" s="3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3" t="s">
        <v>80</v>
      </c>
      <c r="C27" s="15" t="s">
        <v>470</v>
      </c>
      <c r="D27" s="43" t="s">
        <v>404</v>
      </c>
      <c r="E27" s="40"/>
      <c r="F27" s="11"/>
    </row>
    <row r="28" spans="1:15">
      <c r="B28" s="15"/>
      <c r="C28" s="73" t="s">
        <v>512</v>
      </c>
      <c r="D28" s="49" t="str">
        <f>IF(D27&lt;&gt;C28,VLOOKUP(D27,$C$29:$D$48,2,FALSE),C28)</f>
        <v>EWS Netz</v>
      </c>
      <c r="E28" s="39"/>
      <c r="F28" s="11"/>
      <c r="G28" s="2"/>
    </row>
    <row r="29" spans="1:15">
      <c r="B29" s="15"/>
      <c r="C29" s="23" t="s">
        <v>404</v>
      </c>
      <c r="D29" s="46" t="s">
        <v>618</v>
      </c>
      <c r="E29" s="41"/>
      <c r="F29" s="11"/>
      <c r="G29" s="2"/>
    </row>
    <row r="30" spans="1:15">
      <c r="B30" s="15"/>
      <c r="C30" s="23" t="s">
        <v>405</v>
      </c>
      <c r="D30" s="46"/>
      <c r="E30" s="41"/>
      <c r="F30" s="48"/>
      <c r="G30" s="2"/>
    </row>
    <row r="31" spans="1:15">
      <c r="B31" s="15"/>
      <c r="C31" s="23" t="s">
        <v>431</v>
      </c>
      <c r="D31" s="47"/>
      <c r="E31" s="41"/>
      <c r="F31" s="48"/>
      <c r="G31" s="2"/>
    </row>
    <row r="32" spans="1:15">
      <c r="B32" s="15"/>
      <c r="C32" s="23" t="s">
        <v>432</v>
      </c>
      <c r="D32" s="47"/>
      <c r="E32" s="41"/>
      <c r="F32" s="48"/>
      <c r="G32" s="2"/>
    </row>
    <row r="33" spans="2:7">
      <c r="B33" s="15"/>
      <c r="C33" s="23" t="s">
        <v>433</v>
      </c>
      <c r="D33" s="46"/>
      <c r="E33" s="41"/>
      <c r="F33" s="48"/>
      <c r="G33" s="2"/>
    </row>
    <row r="34" spans="2:7">
      <c r="B34" s="15"/>
      <c r="C34" s="23" t="s">
        <v>434</v>
      </c>
      <c r="D34" s="47"/>
      <c r="E34" s="41"/>
      <c r="F34" s="48"/>
      <c r="G34" s="2"/>
    </row>
    <row r="35" spans="2:7">
      <c r="B35" s="15"/>
      <c r="C35" s="23" t="s">
        <v>435</v>
      </c>
      <c r="D35" s="47"/>
      <c r="E35" s="41"/>
      <c r="F35" s="48"/>
      <c r="G35" s="2"/>
    </row>
    <row r="36" spans="2:7">
      <c r="B36" s="15"/>
      <c r="C36" s="23" t="s">
        <v>436</v>
      </c>
      <c r="D36" s="47"/>
      <c r="E36" s="41"/>
      <c r="F36" s="48"/>
      <c r="G36" s="2"/>
    </row>
    <row r="37" spans="2:7">
      <c r="B37" s="15"/>
      <c r="C37" s="23" t="s">
        <v>437</v>
      </c>
      <c r="D37" s="47"/>
      <c r="E37" s="41"/>
      <c r="F37" s="48"/>
      <c r="G37" s="2"/>
    </row>
    <row r="38" spans="2:7">
      <c r="B38" s="15"/>
      <c r="C38" s="23" t="s">
        <v>442</v>
      </c>
      <c r="D38" s="47"/>
      <c r="E38" s="41"/>
      <c r="F38" s="48"/>
      <c r="G38" s="2"/>
    </row>
    <row r="39" spans="2:7">
      <c r="B39" s="15"/>
      <c r="C39" s="23" t="s">
        <v>443</v>
      </c>
      <c r="D39" s="47"/>
      <c r="E39" s="41"/>
      <c r="F39" s="48"/>
      <c r="G39" s="2"/>
    </row>
    <row r="40" spans="2:7">
      <c r="B40" s="15"/>
      <c r="C40" s="23" t="s">
        <v>444</v>
      </c>
      <c r="D40" s="47"/>
      <c r="E40" s="41"/>
      <c r="F40" s="48"/>
      <c r="G40" s="2"/>
    </row>
    <row r="41" spans="2:7">
      <c r="B41" s="15"/>
      <c r="C41" s="23" t="s">
        <v>445</v>
      </c>
      <c r="D41" s="47"/>
      <c r="E41" s="41"/>
      <c r="F41" s="48"/>
      <c r="G41" s="2"/>
    </row>
    <row r="42" spans="2:7">
      <c r="B42" s="15"/>
      <c r="C42" s="23" t="s">
        <v>446</v>
      </c>
      <c r="D42" s="47"/>
      <c r="E42" s="41"/>
      <c r="F42" s="48"/>
      <c r="G42" s="2"/>
    </row>
    <row r="43" spans="2:7">
      <c r="B43" s="15"/>
      <c r="C43" s="23" t="s">
        <v>447</v>
      </c>
      <c r="D43" s="47"/>
      <c r="E43" s="41"/>
      <c r="F43" s="48"/>
      <c r="G43" s="2"/>
    </row>
    <row r="44" spans="2:7">
      <c r="B44" s="15"/>
      <c r="C44" s="23" t="s">
        <v>448</v>
      </c>
      <c r="D44" s="47"/>
      <c r="E44" s="41"/>
      <c r="F44" s="48"/>
      <c r="G44" s="2"/>
    </row>
    <row r="45" spans="2:7">
      <c r="B45" s="15"/>
      <c r="C45" s="23" t="s">
        <v>449</v>
      </c>
      <c r="D45" s="47"/>
      <c r="E45" s="41"/>
      <c r="F45" s="48"/>
      <c r="G45" s="2"/>
    </row>
    <row r="46" spans="2:7">
      <c r="B46" s="15"/>
      <c r="C46" s="23" t="s">
        <v>450</v>
      </c>
      <c r="D46" s="47"/>
      <c r="E46" s="41"/>
      <c r="F46" s="48"/>
    </row>
    <row r="47" spans="2:7">
      <c r="B47" s="15"/>
      <c r="C47" s="23" t="s">
        <v>451</v>
      </c>
      <c r="D47" s="47"/>
      <c r="E47" s="41"/>
      <c r="F47" s="48"/>
    </row>
    <row r="48" spans="2:7">
      <c r="B48" s="15"/>
      <c r="C48" s="23" t="s">
        <v>452</v>
      </c>
      <c r="D48" s="47"/>
      <c r="E48" s="41"/>
      <c r="F48" s="48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34" priority="2">
      <formula>IF(CELL("Zeile",D29)&lt;$D$25+29,1,0)</formula>
    </cfRule>
  </conditionalFormatting>
  <conditionalFormatting sqref="D30:D48">
    <cfRule type="expression" dxfId="33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5" tint="-0.249977111117893"/>
    <pageSetUpPr fitToPage="1"/>
  </sheetPr>
  <dimension ref="A1:AY40"/>
  <sheetViews>
    <sheetView showGridLines="0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8" customWidth="1"/>
    <col min="3" max="3" width="45.85546875" style="8" customWidth="1"/>
    <col min="4" max="4" width="33.140625" style="8" customWidth="1"/>
    <col min="5" max="5" width="7.85546875" style="8" customWidth="1"/>
    <col min="6" max="39" width="11.28515625" style="13" hidden="1" customWidth="1"/>
    <col min="40" max="51" width="11.28515625" style="8" hidden="1" customWidth="1"/>
    <col min="52" max="16384" width="2.140625" style="8" hidden="1"/>
  </cols>
  <sheetData>
    <row r="1" spans="2:15" ht="75" customHeight="1"/>
    <row r="2" spans="2:15" ht="23.25">
      <c r="B2" s="9" t="s">
        <v>277</v>
      </c>
    </row>
    <row r="3" spans="2:15"/>
    <row r="4" spans="2:15">
      <c r="B4" s="15"/>
      <c r="C4" s="15"/>
      <c r="D4" s="15"/>
      <c r="E4" s="15"/>
    </row>
    <row r="5" spans="2:15" ht="15" customHeight="1">
      <c r="B5" s="23"/>
      <c r="C5" s="57" t="s">
        <v>456</v>
      </c>
      <c r="D5" s="59" t="str">
        <f>Netzbetreiber!$D$9</f>
        <v>ews-Netz GmbH</v>
      </c>
      <c r="H5" s="75"/>
      <c r="I5" s="75"/>
      <c r="J5" s="75"/>
      <c r="K5" s="75"/>
    </row>
    <row r="6" spans="2:15" ht="15" customHeight="1">
      <c r="B6" s="23"/>
      <c r="C6" s="63" t="s">
        <v>455</v>
      </c>
      <c r="D6" s="59" t="str">
        <f>Netzbetreiber!D28</f>
        <v>EWS Netz</v>
      </c>
      <c r="E6" s="15"/>
      <c r="H6" s="75"/>
      <c r="I6" s="75"/>
      <c r="J6" s="75"/>
      <c r="K6" s="75"/>
    </row>
    <row r="7" spans="2:15" ht="15" customHeight="1">
      <c r="B7" s="23"/>
      <c r="C7" s="61" t="s">
        <v>498</v>
      </c>
      <c r="D7" s="62" t="str">
        <f>Netzbetreiber!$D$11</f>
        <v>9870105600000</v>
      </c>
      <c r="E7" s="15"/>
      <c r="H7" s="75"/>
      <c r="I7" s="75"/>
      <c r="J7" s="75"/>
      <c r="K7" s="75"/>
    </row>
    <row r="8" spans="2:15" ht="15" customHeight="1">
      <c r="B8" s="23"/>
      <c r="C8" s="57" t="s">
        <v>133</v>
      </c>
      <c r="D8" s="51">
        <f>Netzbetreiber!$D$6</f>
        <v>42278</v>
      </c>
      <c r="E8" s="15"/>
      <c r="H8" s="75"/>
      <c r="I8" s="75"/>
      <c r="J8" s="75"/>
      <c r="K8" s="75"/>
    </row>
    <row r="9" spans="2:15" ht="15" customHeight="1">
      <c r="B9" s="24"/>
      <c r="C9" s="31"/>
      <c r="D9" s="31"/>
      <c r="E9" s="27"/>
      <c r="F9" s="309"/>
      <c r="G9" s="310"/>
      <c r="H9" s="311"/>
      <c r="I9" s="311"/>
      <c r="J9" s="311"/>
      <c r="K9" s="311"/>
      <c r="L9" s="310"/>
      <c r="M9" s="310"/>
      <c r="N9" s="310"/>
      <c r="O9" s="310"/>
    </row>
    <row r="10" spans="2:15" ht="15" customHeight="1">
      <c r="B10" s="15"/>
      <c r="C10" s="15"/>
      <c r="D10" s="15"/>
      <c r="E10" s="15"/>
      <c r="H10" s="312" t="s">
        <v>264</v>
      </c>
      <c r="I10" s="312" t="s">
        <v>267</v>
      </c>
      <c r="J10" s="317" t="s">
        <v>268</v>
      </c>
      <c r="K10" s="75"/>
    </row>
    <row r="11" spans="2:15" ht="15" customHeight="1">
      <c r="B11" s="7" t="s">
        <v>81</v>
      </c>
      <c r="C11" s="5" t="s">
        <v>276</v>
      </c>
      <c r="D11" s="34" t="s">
        <v>267</v>
      </c>
      <c r="E11" s="15"/>
      <c r="H11" s="75"/>
      <c r="I11" s="75"/>
      <c r="J11" s="75"/>
      <c r="K11" s="75"/>
    </row>
    <row r="12" spans="2:15" ht="15" customHeight="1">
      <c r="B12" s="23"/>
      <c r="C12" s="5"/>
      <c r="D12" s="30"/>
      <c r="E12" s="15"/>
      <c r="H12" s="75"/>
      <c r="I12" s="75"/>
      <c r="J12" s="75"/>
      <c r="K12" s="75"/>
    </row>
    <row r="13" spans="2:15" ht="15" customHeight="1">
      <c r="B13" s="7" t="s">
        <v>82</v>
      </c>
      <c r="C13" s="5" t="s">
        <v>441</v>
      </c>
      <c r="D13" s="43"/>
      <c r="E13" s="15"/>
      <c r="H13" s="75"/>
      <c r="I13" s="75"/>
      <c r="J13" s="75"/>
      <c r="K13" s="75"/>
    </row>
    <row r="14" spans="2:15" ht="15" customHeight="1">
      <c r="B14" s="24"/>
      <c r="C14" s="5" t="s">
        <v>440</v>
      </c>
      <c r="D14" s="43" t="s">
        <v>619</v>
      </c>
      <c r="E14" s="15"/>
      <c r="H14" s="313"/>
      <c r="I14" s="313"/>
      <c r="J14" s="313"/>
      <c r="K14" s="313"/>
      <c r="L14" s="314"/>
    </row>
    <row r="15" spans="2:15" ht="15" customHeight="1">
      <c r="B15" s="23"/>
      <c r="C15" s="5"/>
      <c r="D15" s="30"/>
      <c r="E15" s="15"/>
      <c r="H15" s="313"/>
      <c r="I15" s="313"/>
      <c r="J15" s="313"/>
      <c r="K15" s="313"/>
      <c r="L15" s="314"/>
    </row>
    <row r="16" spans="2:15" ht="15" customHeight="1">
      <c r="B16" s="7" t="s">
        <v>83</v>
      </c>
      <c r="C16" s="32" t="s">
        <v>377</v>
      </c>
      <c r="D16" s="50" t="s">
        <v>265</v>
      </c>
      <c r="E16" s="15"/>
      <c r="H16" s="315" t="s">
        <v>265</v>
      </c>
      <c r="I16" s="315" t="s">
        <v>135</v>
      </c>
      <c r="J16" s="313"/>
      <c r="K16" s="313"/>
      <c r="L16" s="314"/>
    </row>
    <row r="17" spans="2:39" ht="15" customHeight="1">
      <c r="B17" s="23"/>
      <c r="C17" s="33" t="str">
        <f>HLOOKUP($D$16,$H$16:$I$18,2,0)</f>
        <v>=&gt; zeitnah ermittelter Netzzustand fließt nicht in Allokation ein</v>
      </c>
      <c r="D17" s="16"/>
      <c r="E17" s="15"/>
      <c r="H17" s="316" t="s">
        <v>601</v>
      </c>
      <c r="I17" s="316" t="s">
        <v>499</v>
      </c>
      <c r="J17" s="313"/>
      <c r="K17" s="313"/>
      <c r="L17" s="314"/>
    </row>
    <row r="18" spans="2:39" ht="15" customHeight="1">
      <c r="B18" s="23"/>
      <c r="C18" s="33" t="str">
        <f>HLOOKUP($D$16,$H$16:$I$18,3,0)</f>
        <v>=&gt; Zeitreihentyp SLPsyn</v>
      </c>
      <c r="D18" s="16"/>
      <c r="E18" s="15"/>
      <c r="H18" s="316" t="s">
        <v>500</v>
      </c>
      <c r="I18" s="316" t="s">
        <v>501</v>
      </c>
      <c r="J18" s="313"/>
      <c r="K18" s="313"/>
      <c r="L18" s="314"/>
    </row>
    <row r="19" spans="2:39" ht="15" customHeight="1">
      <c r="B19" s="23"/>
      <c r="C19" s="25"/>
      <c r="D19" s="15"/>
      <c r="E19" s="15"/>
      <c r="H19" s="313"/>
      <c r="I19" s="313"/>
      <c r="J19" s="313"/>
      <c r="K19" s="313"/>
      <c r="L19" s="314"/>
    </row>
    <row r="20" spans="2:39" ht="15" customHeight="1">
      <c r="B20" s="7" t="s">
        <v>84</v>
      </c>
      <c r="C20" s="6" t="s">
        <v>605</v>
      </c>
      <c r="D20" s="43" t="s">
        <v>136</v>
      </c>
      <c r="E20" s="15"/>
      <c r="H20" s="315" t="s">
        <v>134</v>
      </c>
      <c r="I20" s="315" t="s">
        <v>136</v>
      </c>
      <c r="J20" s="313"/>
      <c r="K20" s="313"/>
      <c r="L20" s="314"/>
    </row>
    <row r="21" spans="2:39" ht="15" customHeight="1">
      <c r="B21" s="23"/>
      <c r="C21" s="15" t="str">
        <f>HLOOKUP(D20,$H$20:$I$21,2,0)</f>
        <v>=&gt; Q(Allokation)  =  Q(Synth.); Fopt = 1</v>
      </c>
      <c r="D21" s="15"/>
      <c r="E21" s="15"/>
      <c r="H21" s="316" t="s">
        <v>528</v>
      </c>
      <c r="I21" s="316" t="s">
        <v>526</v>
      </c>
      <c r="J21" s="313"/>
      <c r="K21" s="313"/>
      <c r="L21" s="314"/>
    </row>
    <row r="22" spans="2:39" ht="15" customHeight="1">
      <c r="B22" s="23"/>
      <c r="C22" s="25"/>
      <c r="D22" s="15"/>
      <c r="E22" s="15"/>
      <c r="H22" s="313"/>
      <c r="I22" s="313"/>
      <c r="J22" s="313"/>
      <c r="K22" s="313"/>
      <c r="L22" s="314"/>
    </row>
    <row r="23" spans="2:39" ht="15" customHeight="1">
      <c r="B23" s="7" t="s">
        <v>85</v>
      </c>
      <c r="C23" s="6" t="s">
        <v>604</v>
      </c>
      <c r="D23" s="43" t="s">
        <v>136</v>
      </c>
      <c r="E23" s="15"/>
      <c r="H23" s="315" t="s">
        <v>134</v>
      </c>
      <c r="I23" s="315" t="s">
        <v>136</v>
      </c>
      <c r="J23" s="313"/>
      <c r="K23" s="313"/>
      <c r="L23" s="314"/>
    </row>
    <row r="24" spans="2:39" ht="15" customHeight="1">
      <c r="B24" s="23"/>
      <c r="C24" s="15" t="str">
        <f>HLOOKUP(D23,$H$23:$I$24,2,0)</f>
        <v>=&gt; Q(Allokation)  =  Q(D-2);  Fopt = 1</v>
      </c>
      <c r="D24" s="15"/>
      <c r="E24" s="15"/>
      <c r="H24" s="316" t="s">
        <v>602</v>
      </c>
      <c r="I24" s="316" t="s">
        <v>527</v>
      </c>
      <c r="J24" s="313"/>
      <c r="K24" s="313"/>
      <c r="L24" s="314"/>
    </row>
    <row r="25" spans="2:39" ht="15" customHeight="1">
      <c r="B25" s="23"/>
      <c r="C25" s="25"/>
      <c r="D25" s="15"/>
      <c r="E25" s="15"/>
      <c r="H25" s="313"/>
      <c r="I25" s="313"/>
      <c r="J25" s="313"/>
      <c r="K25" s="313"/>
      <c r="L25" s="314"/>
    </row>
    <row r="26" spans="2:39" ht="15" customHeight="1">
      <c r="B26" s="23" t="s">
        <v>379</v>
      </c>
      <c r="C26" s="25" t="s">
        <v>506</v>
      </c>
      <c r="D26" s="308">
        <v>6</v>
      </c>
      <c r="E26" s="15"/>
      <c r="H26" s="313"/>
      <c r="I26" s="313"/>
      <c r="J26" s="313"/>
      <c r="K26" s="313"/>
      <c r="L26" s="314"/>
    </row>
    <row r="27" spans="2:39" ht="15" customHeight="1">
      <c r="B27" s="23"/>
      <c r="C27" s="25"/>
      <c r="D27" s="15"/>
      <c r="E27" s="15"/>
      <c r="H27" s="313"/>
      <c r="I27" s="313"/>
      <c r="J27" s="313"/>
      <c r="K27" s="313"/>
      <c r="L27" s="314"/>
    </row>
    <row r="28" spans="2:39" ht="15" customHeight="1">
      <c r="B28" s="23" t="s">
        <v>504</v>
      </c>
      <c r="C28" s="61" t="s">
        <v>603</v>
      </c>
      <c r="D28" s="43">
        <v>1</v>
      </c>
      <c r="E28" s="15"/>
      <c r="H28" s="13">
        <v>1</v>
      </c>
      <c r="I28" s="13">
        <v>2</v>
      </c>
      <c r="J28" s="13">
        <v>3</v>
      </c>
      <c r="K28" s="13">
        <v>4</v>
      </c>
      <c r="L28" s="13">
        <v>5</v>
      </c>
      <c r="M28" s="13">
        <v>6</v>
      </c>
      <c r="N28" s="13">
        <v>7</v>
      </c>
      <c r="O28" s="13">
        <v>8</v>
      </c>
      <c r="P28" s="13">
        <v>9</v>
      </c>
      <c r="Q28" s="13">
        <v>10</v>
      </c>
      <c r="R28" s="13">
        <v>11</v>
      </c>
      <c r="S28" s="13">
        <v>12</v>
      </c>
      <c r="T28" s="13">
        <v>13</v>
      </c>
      <c r="U28" s="13">
        <v>14</v>
      </c>
      <c r="V28" s="13">
        <v>15</v>
      </c>
    </row>
    <row r="29" spans="2:39" ht="15" customHeight="1">
      <c r="B29" s="23"/>
      <c r="C29" s="25"/>
      <c r="D29" s="15"/>
      <c r="E29" s="15"/>
      <c r="H29" s="13">
        <f>IF(H28&lt;='SLP-Temperatur-Gebiet # 1'!$F$9,H28,"")</f>
        <v>1</v>
      </c>
      <c r="I29" s="13" t="str">
        <f>IF(I28&lt;='SLP-Temperatur-Gebiet # 1'!$F$9,I28,"")</f>
        <v/>
      </c>
      <c r="J29" s="13" t="str">
        <f>IF(J28&lt;='SLP-Temperatur-Gebiet # 1'!$F$9,J28,"")</f>
        <v/>
      </c>
      <c r="K29" s="13" t="str">
        <f>IF(K28&lt;='SLP-Temperatur-Gebiet # 1'!$F$9,K28,"")</f>
        <v/>
      </c>
      <c r="L29" s="13" t="str">
        <f>IF(L28&lt;='SLP-Temperatur-Gebiet # 1'!$F$9,L28,"")</f>
        <v/>
      </c>
      <c r="M29" s="13" t="str">
        <f>IF(M28&lt;='SLP-Temperatur-Gebiet # 1'!$F$9,M28,"")</f>
        <v/>
      </c>
      <c r="N29" s="13" t="str">
        <f>IF(N28&lt;='SLP-Temperatur-Gebiet # 1'!$F$9,N28,"")</f>
        <v/>
      </c>
      <c r="O29" s="13" t="str">
        <f>IF(O28&lt;='SLP-Temperatur-Gebiet # 1'!$F$9,O28,"")</f>
        <v/>
      </c>
      <c r="P29" s="13" t="str">
        <f>IF(P28&lt;='SLP-Temperatur-Gebiet # 1'!$F$9,P28,"")</f>
        <v/>
      </c>
      <c r="Q29" s="13" t="str">
        <f>IF(Q28&lt;='SLP-Temperatur-Gebiet # 1'!$F$9,Q28,"")</f>
        <v/>
      </c>
      <c r="R29" s="13" t="str">
        <f>IF(R28&lt;='SLP-Temperatur-Gebiet # 1'!$F$9,R28,"")</f>
        <v/>
      </c>
      <c r="S29" s="13" t="str">
        <f>IF(S28&lt;='SLP-Temperatur-Gebiet # 1'!$F$9,S28,"")</f>
        <v/>
      </c>
      <c r="T29" s="13" t="str">
        <f>IF(T28&lt;='SLP-Temperatur-Gebiet # 1'!$F$9,T28,"")</f>
        <v/>
      </c>
      <c r="U29" s="13" t="str">
        <f>IF(U28&lt;='SLP-Temperatur-Gebiet # 1'!$F$9,U28,"")</f>
        <v/>
      </c>
      <c r="V29" s="13" t="str">
        <f>IF(V28&lt;='SLP-Temperatur-Gebiet # 1'!$F$9,V28,"")</f>
        <v/>
      </c>
    </row>
    <row r="30" spans="2:39" ht="15" customHeight="1">
      <c r="B30" s="7" t="s">
        <v>574</v>
      </c>
      <c r="C30" s="5" t="s">
        <v>374</v>
      </c>
      <c r="D30" s="35">
        <v>1500000</v>
      </c>
      <c r="E30" s="15" t="s">
        <v>525</v>
      </c>
      <c r="I30" s="313"/>
      <c r="J30" s="313"/>
      <c r="K30" s="313"/>
      <c r="L30" s="313"/>
      <c r="M30" s="314"/>
    </row>
    <row r="31" spans="2:39" customFormat="1" ht="15" customHeight="1">
      <c r="C31" s="8" t="s">
        <v>502</v>
      </c>
      <c r="F31" s="13"/>
      <c r="G31" s="13"/>
      <c r="H31" s="75"/>
      <c r="I31" s="75"/>
      <c r="J31" s="75"/>
      <c r="K31" s="75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2:39" ht="15" customHeight="1">
      <c r="B32" s="15"/>
      <c r="C32" s="36"/>
      <c r="D32" s="30"/>
      <c r="E32" s="15"/>
      <c r="H32" s="75"/>
      <c r="I32" s="75"/>
      <c r="J32" s="75"/>
      <c r="K32" s="75"/>
    </row>
    <row r="33" spans="2:11" ht="15" customHeight="1">
      <c r="B33" s="7" t="s">
        <v>575</v>
      </c>
      <c r="C33" s="5" t="s">
        <v>375</v>
      </c>
      <c r="D33" s="37">
        <v>500</v>
      </c>
      <c r="E33" s="15" t="s">
        <v>566</v>
      </c>
      <c r="H33" s="75"/>
      <c r="I33" s="75"/>
      <c r="J33" s="75"/>
      <c r="K33" s="75"/>
    </row>
    <row r="34" spans="2:11" ht="15" customHeight="1">
      <c r="C34" s="8" t="s">
        <v>503</v>
      </c>
    </row>
    <row r="35" spans="2:11" ht="15" customHeight="1">
      <c r="B35" s="7"/>
      <c r="C35" s="3"/>
    </row>
    <row r="36" spans="2:11" ht="15" customHeight="1">
      <c r="B36" s="7"/>
      <c r="C36" s="3" t="s">
        <v>565</v>
      </c>
    </row>
    <row r="37" spans="2:11">
      <c r="C37" s="3" t="s">
        <v>567</v>
      </c>
    </row>
    <row r="38" spans="2:11" hidden="1">
      <c r="C38" s="3"/>
    </row>
    <row r="39" spans="2:11" hidden="1">
      <c r="C39" s="3"/>
    </row>
    <row r="40" spans="2:11" hidden="1">
      <c r="C40" s="3"/>
    </row>
  </sheetData>
  <sheetProtection sheet="1" objects="1" scenarios="1"/>
  <conditionalFormatting sqref="D20">
    <cfRule type="expression" dxfId="32" priority="2">
      <formula>IF($D$16="analytisch",1,0)</formula>
    </cfRule>
  </conditionalFormatting>
  <conditionalFormatting sqref="D23">
    <cfRule type="expression" dxfId="31" priority="1">
      <formula>IF($D$16="synthetisch",1,0)</formula>
    </cfRule>
  </conditionalFormatting>
  <dataValidations count="5">
    <dataValidation type="list" allowBlank="1" showInputMessage="1" showErrorMessage="1" sqref="D23 D20">
      <formula1>$H$23:$I$23</formula1>
    </dataValidation>
    <dataValidation type="list" allowBlank="1" showInputMessage="1" showErrorMessage="1" sqref="D16">
      <formula1>$H$16:$I$16</formula1>
    </dataValidation>
    <dataValidation type="list" allowBlank="1" showInputMessage="1" showErrorMessage="1" sqref="D11">
      <formula1>$H$10:$J$10</formula1>
    </dataValidation>
    <dataValidation type="whole" allowBlank="1" showInputMessage="1" showErrorMessage="1" sqref="D26">
      <formula1>1</formula1>
      <formula2>200</formula2>
    </dataValidation>
    <dataValidation type="list" allowBlank="1" showInputMessage="1" showErrorMessage="1" sqref="D28">
      <formula1>$H$28:$V$28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theme="5" tint="-0.249977111117893"/>
    <pageSetUpPr fitToPage="1"/>
  </sheetPr>
  <dimension ref="A1:BD75"/>
  <sheetViews>
    <sheetView showGridLines="0" zoomScale="70" zoomScaleNormal="70" workbookViewId="0">
      <selection activeCell="E6" sqref="E6"/>
    </sheetView>
  </sheetViews>
  <sheetFormatPr baseColWidth="10" defaultColWidth="0" defaultRowHeight="15" zeroHeight="1"/>
  <cols>
    <col min="1" max="1" width="2.85546875" style="144" customWidth="1"/>
    <col min="2" max="2" width="5.42578125" style="144" customWidth="1"/>
    <col min="3" max="3" width="37.5703125" style="144" customWidth="1"/>
    <col min="4" max="4" width="12.5703125" style="144" customWidth="1"/>
    <col min="5" max="5" width="19.7109375" style="144" customWidth="1"/>
    <col min="6" max="14" width="12.7109375" style="144" customWidth="1"/>
    <col min="15" max="15" width="34.140625" style="144" customWidth="1"/>
    <col min="16" max="16" width="5.28515625" style="192" customWidth="1"/>
    <col min="17" max="28" width="22.5703125" style="234" hidden="1" customWidth="1"/>
    <col min="29" max="16384" width="22.5703125" style="58" hidden="1"/>
  </cols>
  <sheetData>
    <row r="1" spans="1:56" ht="75" customHeight="1"/>
    <row r="2" spans="1:56" ht="23.25">
      <c r="B2" s="193" t="s">
        <v>569</v>
      </c>
    </row>
    <row r="3" spans="1:56" ht="15" customHeight="1">
      <c r="B3" s="193"/>
    </row>
    <row r="4" spans="1:56">
      <c r="B4" s="146"/>
      <c r="C4" s="57" t="s">
        <v>456</v>
      </c>
      <c r="D4" s="58"/>
      <c r="E4" s="59" t="s">
        <v>623</v>
      </c>
      <c r="F4" s="146"/>
      <c r="M4" s="146"/>
      <c r="N4" s="146"/>
      <c r="O4" s="146"/>
    </row>
    <row r="5" spans="1:56">
      <c r="B5" s="146"/>
      <c r="C5" s="57" t="s">
        <v>455</v>
      </c>
      <c r="D5" s="58"/>
      <c r="E5" s="59" t="str">
        <f>Netzbetreiber!D28</f>
        <v>EWS Netz</v>
      </c>
      <c r="F5" s="146"/>
      <c r="G5" s="146"/>
      <c r="H5" s="146"/>
      <c r="M5" s="146"/>
      <c r="N5" s="146"/>
      <c r="O5" s="146"/>
    </row>
    <row r="6" spans="1:56">
      <c r="B6" s="146"/>
      <c r="C6" s="61" t="s">
        <v>498</v>
      </c>
      <c r="D6" s="58"/>
      <c r="E6" s="334">
        <v>9870105600000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56">
      <c r="B7" s="146"/>
      <c r="C7" s="57" t="s">
        <v>133</v>
      </c>
      <c r="D7" s="58"/>
      <c r="E7" s="51">
        <v>42278</v>
      </c>
      <c r="F7" s="146"/>
      <c r="G7" s="146"/>
      <c r="H7" s="146"/>
      <c r="J7" s="146"/>
      <c r="K7" s="146"/>
      <c r="L7" s="146"/>
      <c r="M7" s="146"/>
      <c r="N7" s="146"/>
      <c r="O7" s="146"/>
    </row>
    <row r="8" spans="1:56">
      <c r="B8" s="146"/>
      <c r="C8" s="146"/>
      <c r="D8" s="146"/>
      <c r="E8" s="146"/>
      <c r="F8" s="146"/>
      <c r="G8" s="146"/>
      <c r="H8" s="99" t="s">
        <v>508</v>
      </c>
      <c r="J8" s="146"/>
      <c r="K8" s="146"/>
      <c r="L8" s="146"/>
      <c r="M8" s="146"/>
      <c r="N8" s="146"/>
      <c r="O8" s="146"/>
    </row>
    <row r="9" spans="1:56">
      <c r="B9" s="146"/>
      <c r="C9" s="61" t="s">
        <v>548</v>
      </c>
      <c r="D9" s="146"/>
      <c r="E9" s="146"/>
      <c r="F9" s="170">
        <f>'SLP-Verfahren'!D28</f>
        <v>1</v>
      </c>
      <c r="H9" s="194" t="s">
        <v>546</v>
      </c>
      <c r="J9" s="146"/>
      <c r="K9" s="146"/>
      <c r="L9" s="146"/>
      <c r="M9" s="146"/>
      <c r="N9" s="146"/>
      <c r="O9" s="146"/>
    </row>
    <row r="10" spans="1:56">
      <c r="B10" s="146"/>
      <c r="C10" s="57" t="s">
        <v>542</v>
      </c>
      <c r="D10" s="146"/>
      <c r="E10" s="146"/>
      <c r="F10" s="50">
        <v>1</v>
      </c>
      <c r="H10" s="194" t="s">
        <v>547</v>
      </c>
      <c r="J10" s="146"/>
      <c r="K10" s="146"/>
      <c r="L10" s="146"/>
      <c r="M10" s="146"/>
      <c r="N10" s="146"/>
      <c r="O10" s="146"/>
    </row>
    <row r="11" spans="1:56"/>
    <row r="12" spans="1:56" ht="18" customHeight="1">
      <c r="B12" s="146"/>
      <c r="C12" s="318" t="s">
        <v>589</v>
      </c>
      <c r="D12" s="318"/>
      <c r="E12" s="318"/>
      <c r="F12" s="205" t="s">
        <v>573</v>
      </c>
      <c r="G12" s="146" t="s">
        <v>571</v>
      </c>
      <c r="H12" s="305" t="s">
        <v>588</v>
      </c>
      <c r="I12" s="58"/>
      <c r="J12" s="146"/>
      <c r="K12" s="146"/>
      <c r="L12" s="146"/>
      <c r="M12" s="146"/>
      <c r="N12" s="146"/>
      <c r="O12" s="146"/>
    </row>
    <row r="13" spans="1:56" ht="19.5" customHeight="1">
      <c r="B13" s="146"/>
      <c r="C13" s="319" t="s">
        <v>459</v>
      </c>
      <c r="D13" s="319"/>
      <c r="E13" s="100" t="s">
        <v>460</v>
      </c>
      <c r="F13" s="306" t="s">
        <v>85</v>
      </c>
      <c r="G13" s="307" t="s">
        <v>598</v>
      </c>
      <c r="H13" s="52">
        <v>0</v>
      </c>
      <c r="I13" s="58"/>
      <c r="J13" s="146"/>
      <c r="K13" s="146"/>
      <c r="L13" s="146"/>
      <c r="M13" s="146"/>
      <c r="N13" s="146"/>
      <c r="O13" s="195" t="s">
        <v>553</v>
      </c>
      <c r="R13" s="234" t="s">
        <v>590</v>
      </c>
      <c r="S13" s="234" t="s">
        <v>591</v>
      </c>
      <c r="T13" s="234" t="s">
        <v>592</v>
      </c>
      <c r="U13" s="234" t="s">
        <v>593</v>
      </c>
      <c r="V13" s="234" t="s">
        <v>572</v>
      </c>
      <c r="W13" s="234" t="s">
        <v>594</v>
      </c>
      <c r="X13" s="234" t="s">
        <v>595</v>
      </c>
      <c r="Y13" s="234" t="s">
        <v>596</v>
      </c>
      <c r="Z13" s="234" t="s">
        <v>597</v>
      </c>
      <c r="AA13" s="234" t="s">
        <v>598</v>
      </c>
      <c r="AB13" s="234" t="s">
        <v>599</v>
      </c>
      <c r="AC13" s="234" t="s">
        <v>600</v>
      </c>
    </row>
    <row r="14" spans="1:56" ht="19.5" customHeight="1">
      <c r="B14" s="146"/>
      <c r="C14" s="319" t="s">
        <v>396</v>
      </c>
      <c r="D14" s="319"/>
      <c r="E14" s="100" t="s">
        <v>460</v>
      </c>
      <c r="F14" s="306" t="s">
        <v>71</v>
      </c>
      <c r="G14" s="307" t="s">
        <v>592</v>
      </c>
      <c r="H14" s="52">
        <v>0</v>
      </c>
      <c r="I14" s="58"/>
      <c r="J14" s="146"/>
      <c r="K14" s="146"/>
      <c r="L14" s="146"/>
      <c r="M14" s="146"/>
      <c r="N14" s="146"/>
      <c r="O14" s="179"/>
      <c r="R14" s="304" t="s">
        <v>71</v>
      </c>
      <c r="S14" s="304" t="s">
        <v>72</v>
      </c>
      <c r="T14" s="304" t="s">
        <v>73</v>
      </c>
      <c r="U14" s="304" t="s">
        <v>74</v>
      </c>
      <c r="V14" s="304" t="s">
        <v>75</v>
      </c>
      <c r="W14" s="304" t="s">
        <v>76</v>
      </c>
      <c r="X14" s="304" t="s">
        <v>77</v>
      </c>
      <c r="Y14" s="304" t="s">
        <v>78</v>
      </c>
      <c r="Z14" s="304" t="s">
        <v>79</v>
      </c>
      <c r="AA14" s="304" t="s">
        <v>80</v>
      </c>
      <c r="AB14" s="304" t="s">
        <v>81</v>
      </c>
      <c r="AC14" s="304" t="s">
        <v>82</v>
      </c>
      <c r="AD14" s="304" t="s">
        <v>83</v>
      </c>
      <c r="AE14" s="304" t="s">
        <v>84</v>
      </c>
      <c r="AF14" s="304" t="s">
        <v>85</v>
      </c>
      <c r="AG14" s="304" t="s">
        <v>379</v>
      </c>
      <c r="AH14" s="304" t="s">
        <v>504</v>
      </c>
      <c r="AI14" s="304" t="s">
        <v>574</v>
      </c>
      <c r="AJ14" s="304" t="s">
        <v>575</v>
      </c>
      <c r="AK14" s="304" t="s">
        <v>576</v>
      </c>
      <c r="AL14" s="304" t="s">
        <v>577</v>
      </c>
      <c r="AM14" s="304" t="s">
        <v>578</v>
      </c>
      <c r="AN14" s="304" t="s">
        <v>579</v>
      </c>
      <c r="AO14" s="304" t="s">
        <v>580</v>
      </c>
      <c r="AP14" s="304" t="s">
        <v>581</v>
      </c>
      <c r="AQ14" s="304" t="s">
        <v>582</v>
      </c>
      <c r="AR14" s="304" t="s">
        <v>583</v>
      </c>
      <c r="AS14" s="304" t="s">
        <v>584</v>
      </c>
      <c r="AT14" s="304" t="s">
        <v>585</v>
      </c>
      <c r="AU14" s="304" t="s">
        <v>586</v>
      </c>
      <c r="AV14" s="304" t="s">
        <v>587</v>
      </c>
      <c r="AW14" s="304"/>
      <c r="AX14" s="304"/>
      <c r="AY14" s="304"/>
      <c r="AZ14" s="304"/>
      <c r="BA14" s="304"/>
      <c r="BB14" s="304"/>
      <c r="BC14" s="304"/>
      <c r="BD14" s="304"/>
    </row>
    <row r="15" spans="1:56" ht="19.5" customHeight="1">
      <c r="B15" s="146"/>
      <c r="C15" s="196"/>
      <c r="D15" s="197"/>
      <c r="E15" s="146"/>
      <c r="F15" s="58"/>
      <c r="G15" s="146"/>
      <c r="H15" s="146"/>
      <c r="I15" s="146"/>
      <c r="J15" s="146"/>
      <c r="K15" s="146"/>
      <c r="L15" s="146"/>
      <c r="M15" s="146"/>
      <c r="N15" s="146"/>
      <c r="O15" s="146"/>
      <c r="R15" s="235"/>
      <c r="S15" s="235"/>
    </row>
    <row r="16" spans="1:56" ht="19.5" customHeight="1">
      <c r="B16" s="198" t="s">
        <v>540</v>
      </c>
      <c r="C16" s="199"/>
      <c r="D16" s="197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R16" s="235"/>
      <c r="S16" s="235"/>
    </row>
    <row r="17" spans="2:28">
      <c r="B17" s="146"/>
      <c r="C17" s="57" t="s">
        <v>549</v>
      </c>
      <c r="D17" s="146"/>
      <c r="E17" s="146"/>
      <c r="F17" s="50">
        <v>1</v>
      </c>
      <c r="H17" s="146"/>
      <c r="I17" s="194"/>
      <c r="J17" s="146"/>
      <c r="K17" s="146"/>
      <c r="L17" s="146"/>
      <c r="M17" s="146"/>
      <c r="N17" s="146"/>
      <c r="O17" s="146"/>
    </row>
    <row r="18" spans="2:28" ht="15" customHeight="1">
      <c r="B18" s="146"/>
      <c r="C18" s="146"/>
      <c r="D18" s="146"/>
      <c r="E18" s="200">
        <f>IF(E19&gt;$F$17,0,1)</f>
        <v>1</v>
      </c>
      <c r="F18" s="200">
        <f t="shared" ref="F18:N18" si="0">IF(F19&gt;$F$17,0,1)</f>
        <v>0</v>
      </c>
      <c r="G18" s="200">
        <f t="shared" si="0"/>
        <v>0</v>
      </c>
      <c r="H18" s="200">
        <f t="shared" si="0"/>
        <v>0</v>
      </c>
      <c r="I18" s="200">
        <f t="shared" si="0"/>
        <v>0</v>
      </c>
      <c r="J18" s="200">
        <f t="shared" si="0"/>
        <v>0</v>
      </c>
      <c r="K18" s="200">
        <f t="shared" si="0"/>
        <v>0</v>
      </c>
      <c r="L18" s="200">
        <f t="shared" si="0"/>
        <v>0</v>
      </c>
      <c r="M18" s="200">
        <f t="shared" si="0"/>
        <v>0</v>
      </c>
      <c r="N18" s="200">
        <f t="shared" si="0"/>
        <v>0</v>
      </c>
      <c r="O18" s="146"/>
    </row>
    <row r="19" spans="2:28" ht="33.75" customHeight="1">
      <c r="B19" s="146"/>
      <c r="C19" s="201" t="s">
        <v>541</v>
      </c>
      <c r="D19" s="202" t="s">
        <v>537</v>
      </c>
      <c r="E19" s="203">
        <v>1</v>
      </c>
      <c r="F19" s="203">
        <v>2</v>
      </c>
      <c r="G19" s="203">
        <v>3</v>
      </c>
      <c r="H19" s="203">
        <v>4</v>
      </c>
      <c r="I19" s="203">
        <v>5</v>
      </c>
      <c r="J19" s="203">
        <v>6</v>
      </c>
      <c r="K19" s="203">
        <v>7</v>
      </c>
      <c r="L19" s="203">
        <v>8</v>
      </c>
      <c r="M19" s="203">
        <v>9</v>
      </c>
      <c r="N19" s="203">
        <v>10</v>
      </c>
      <c r="O19" s="204" t="s">
        <v>144</v>
      </c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</row>
    <row r="20" spans="2:28">
      <c r="B20" s="205"/>
      <c r="C20" s="206" t="s">
        <v>551</v>
      </c>
      <c r="D20" s="169" t="s">
        <v>539</v>
      </c>
      <c r="E20" s="207">
        <f>1-SUMPRODUCT(F18:N18,F20:N20)</f>
        <v>1</v>
      </c>
      <c r="F20" s="207">
        <f>ROUND(F21/$D$21,3)</f>
        <v>1</v>
      </c>
      <c r="G20" s="207">
        <f t="shared" ref="G20:N20" si="1">ROUND(G21/$D$21,3)</f>
        <v>0</v>
      </c>
      <c r="H20" s="207">
        <f t="shared" si="1"/>
        <v>0</v>
      </c>
      <c r="I20" s="207">
        <f t="shared" si="1"/>
        <v>0</v>
      </c>
      <c r="J20" s="207">
        <f t="shared" si="1"/>
        <v>0</v>
      </c>
      <c r="K20" s="207">
        <f t="shared" si="1"/>
        <v>0</v>
      </c>
      <c r="L20" s="207">
        <f t="shared" si="1"/>
        <v>0</v>
      </c>
      <c r="M20" s="207">
        <f t="shared" si="1"/>
        <v>0</v>
      </c>
      <c r="N20" s="207">
        <f t="shared" si="1"/>
        <v>0</v>
      </c>
      <c r="O20" s="208"/>
      <c r="Q20" s="236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</row>
    <row r="21" spans="2:28">
      <c r="B21" s="205"/>
      <c r="C21" s="206" t="s">
        <v>562</v>
      </c>
      <c r="D21" s="209">
        <f>SUMPRODUCT(E21:N21,E18:N18)</f>
        <v>1</v>
      </c>
      <c r="E21" s="172">
        <v>1</v>
      </c>
      <c r="F21" s="172">
        <v>1</v>
      </c>
      <c r="G21" s="172"/>
      <c r="H21" s="172"/>
      <c r="I21" s="172"/>
      <c r="J21" s="172"/>
      <c r="K21" s="172"/>
      <c r="L21" s="172"/>
      <c r="M21" s="172"/>
      <c r="N21" s="172"/>
      <c r="O21" s="208" t="s">
        <v>145</v>
      </c>
      <c r="Q21" s="236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</row>
    <row r="22" spans="2:28">
      <c r="B22" s="205"/>
      <c r="C22" s="210" t="s">
        <v>137</v>
      </c>
      <c r="D22" s="211"/>
      <c r="E22" s="173" t="s">
        <v>139</v>
      </c>
      <c r="F22" s="173" t="s">
        <v>139</v>
      </c>
      <c r="G22" s="173" t="s">
        <v>139</v>
      </c>
      <c r="H22" s="173" t="s">
        <v>139</v>
      </c>
      <c r="I22" s="173" t="s">
        <v>139</v>
      </c>
      <c r="J22" s="173" t="s">
        <v>139</v>
      </c>
      <c r="K22" s="173" t="s">
        <v>139</v>
      </c>
      <c r="L22" s="173" t="s">
        <v>139</v>
      </c>
      <c r="M22" s="173" t="s">
        <v>139</v>
      </c>
      <c r="N22" s="173" t="s">
        <v>139</v>
      </c>
      <c r="O22" s="208" t="s">
        <v>142</v>
      </c>
      <c r="Q22" s="236"/>
      <c r="R22" s="75" t="s">
        <v>139</v>
      </c>
      <c r="S22" s="75" t="s">
        <v>515</v>
      </c>
      <c r="T22" s="180">
        <f>O14</f>
        <v>0</v>
      </c>
      <c r="U22" s="75"/>
      <c r="V22" s="75"/>
      <c r="W22" s="75"/>
      <c r="X22" s="75"/>
      <c r="Y22" s="75"/>
      <c r="Z22" s="75"/>
      <c r="AA22" s="75"/>
      <c r="AB22" s="75"/>
    </row>
    <row r="23" spans="2:28">
      <c r="B23" s="205"/>
      <c r="C23" s="210" t="s">
        <v>544</v>
      </c>
      <c r="D23" s="211"/>
      <c r="E23" s="173" t="s">
        <v>620</v>
      </c>
      <c r="F23" s="173" t="s">
        <v>608</v>
      </c>
      <c r="G23" s="173"/>
      <c r="H23" s="173"/>
      <c r="I23" s="173"/>
      <c r="J23" s="173"/>
      <c r="K23" s="173"/>
      <c r="L23" s="173"/>
      <c r="M23" s="173"/>
      <c r="N23" s="173"/>
      <c r="O23" s="208" t="s">
        <v>545</v>
      </c>
      <c r="Q23" s="236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2:28">
      <c r="B24" s="205"/>
      <c r="C24" s="210" t="s">
        <v>538</v>
      </c>
      <c r="D24" s="211"/>
      <c r="E24" s="177">
        <v>10146</v>
      </c>
      <c r="F24" s="177" t="s">
        <v>372</v>
      </c>
      <c r="G24" s="177"/>
      <c r="H24" s="177"/>
      <c r="I24" s="177"/>
      <c r="J24" s="177"/>
      <c r="K24" s="177"/>
      <c r="L24" s="177"/>
      <c r="M24" s="177"/>
      <c r="N24" s="177"/>
      <c r="O24" s="208" t="s">
        <v>143</v>
      </c>
      <c r="Q24" s="236"/>
      <c r="R24" s="75" t="s">
        <v>138</v>
      </c>
      <c r="S24" s="75"/>
      <c r="T24" s="75"/>
      <c r="U24" s="75"/>
      <c r="V24" s="75"/>
      <c r="W24" s="75"/>
      <c r="X24" s="75"/>
      <c r="Y24" s="75"/>
      <c r="Z24" s="75"/>
      <c r="AA24" s="75"/>
      <c r="AB24" s="75"/>
    </row>
    <row r="25" spans="2:28">
      <c r="B25" s="205"/>
      <c r="C25" s="210" t="s">
        <v>141</v>
      </c>
      <c r="D25" s="211"/>
      <c r="E25" s="173" t="s">
        <v>516</v>
      </c>
      <c r="F25" s="173" t="s">
        <v>516</v>
      </c>
      <c r="G25" s="173"/>
      <c r="H25" s="173"/>
      <c r="I25" s="173"/>
      <c r="J25" s="173"/>
      <c r="K25" s="173"/>
      <c r="L25" s="173"/>
      <c r="M25" s="173"/>
      <c r="N25" s="173"/>
      <c r="O25" s="208" t="s">
        <v>142</v>
      </c>
      <c r="Q25" s="236"/>
      <c r="R25" s="75" t="s">
        <v>516</v>
      </c>
      <c r="S25" s="75" t="s">
        <v>517</v>
      </c>
      <c r="T25" s="75"/>
      <c r="U25" s="75"/>
      <c r="V25" s="75"/>
      <c r="W25" s="75"/>
      <c r="X25" s="75"/>
      <c r="Y25" s="75"/>
      <c r="Z25" s="75"/>
      <c r="AA25" s="75"/>
      <c r="AB25" s="75"/>
    </row>
    <row r="26" spans="2:28">
      <c r="B26" s="205"/>
      <c r="C26" s="212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Q26" s="236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2:28">
      <c r="B27" s="146"/>
      <c r="C27" s="57" t="s">
        <v>543</v>
      </c>
      <c r="D27" s="146"/>
      <c r="E27" s="146"/>
      <c r="F27" s="50">
        <v>4</v>
      </c>
      <c r="H27" s="146"/>
      <c r="I27" s="194"/>
      <c r="J27" s="146"/>
      <c r="K27" s="146"/>
      <c r="L27" s="146"/>
      <c r="M27" s="146"/>
      <c r="N27" s="146"/>
      <c r="O27" s="146"/>
    </row>
    <row r="28" spans="2:28" ht="15" customHeight="1">
      <c r="E28" s="200">
        <f>IF(E29&gt;$F$27,0,1)</f>
        <v>1</v>
      </c>
      <c r="F28" s="200">
        <f t="shared" ref="F28:N28" si="2">IF(F29&gt;$F$27,0,1)</f>
        <v>1</v>
      </c>
      <c r="G28" s="200">
        <f t="shared" si="2"/>
        <v>1</v>
      </c>
      <c r="H28" s="200">
        <f t="shared" si="2"/>
        <v>1</v>
      </c>
      <c r="I28" s="200">
        <f t="shared" si="2"/>
        <v>0</v>
      </c>
      <c r="J28" s="200">
        <f t="shared" si="2"/>
        <v>0</v>
      </c>
      <c r="K28" s="200">
        <f t="shared" si="2"/>
        <v>0</v>
      </c>
      <c r="L28" s="200">
        <f t="shared" si="2"/>
        <v>0</v>
      </c>
      <c r="M28" s="200">
        <f t="shared" si="2"/>
        <v>0</v>
      </c>
      <c r="N28" s="200">
        <f t="shared" si="2"/>
        <v>0</v>
      </c>
      <c r="Q28" s="236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</row>
    <row r="29" spans="2:28">
      <c r="B29" s="205"/>
      <c r="C29" s="201" t="s">
        <v>140</v>
      </c>
      <c r="D29" s="202" t="s">
        <v>263</v>
      </c>
      <c r="E29" s="214">
        <v>1</v>
      </c>
      <c r="F29" s="214">
        <v>2</v>
      </c>
      <c r="G29" s="214">
        <v>3</v>
      </c>
      <c r="H29" s="214">
        <v>4</v>
      </c>
      <c r="I29" s="214">
        <v>5</v>
      </c>
      <c r="J29" s="214">
        <v>6</v>
      </c>
      <c r="K29" s="214">
        <v>7</v>
      </c>
      <c r="L29" s="214">
        <v>8</v>
      </c>
      <c r="M29" s="214">
        <v>9</v>
      </c>
      <c r="N29" s="214">
        <v>10</v>
      </c>
      <c r="O29" s="204" t="s">
        <v>144</v>
      </c>
      <c r="Q29" s="236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</row>
    <row r="30" spans="2:28">
      <c r="B30" s="205"/>
      <c r="C30" s="206" t="s">
        <v>552</v>
      </c>
      <c r="D30" s="209" t="s">
        <v>262</v>
      </c>
      <c r="E30" s="207">
        <f>1-SUMPRODUCT(F28:N28,F30:N30)</f>
        <v>0.53299999999999992</v>
      </c>
      <c r="F30" s="207">
        <f>ROUND(F31/$D$31,3)</f>
        <v>0.26700000000000002</v>
      </c>
      <c r="G30" s="207">
        <f t="shared" ref="G30:N30" si="3">ROUND(G31/$D$31,3)</f>
        <v>0.13300000000000001</v>
      </c>
      <c r="H30" s="207">
        <f t="shared" si="3"/>
        <v>6.7000000000000004E-2</v>
      </c>
      <c r="I30" s="207">
        <f t="shared" si="3"/>
        <v>0</v>
      </c>
      <c r="J30" s="207">
        <f t="shared" si="3"/>
        <v>0</v>
      </c>
      <c r="K30" s="207">
        <f t="shared" si="3"/>
        <v>0</v>
      </c>
      <c r="L30" s="207">
        <f t="shared" si="3"/>
        <v>0</v>
      </c>
      <c r="M30" s="207">
        <f t="shared" si="3"/>
        <v>0</v>
      </c>
      <c r="N30" s="207">
        <f t="shared" si="3"/>
        <v>0</v>
      </c>
      <c r="O30" s="208"/>
      <c r="Q30" s="236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</row>
    <row r="31" spans="2:28">
      <c r="B31" s="205"/>
      <c r="C31" s="206" t="s">
        <v>558</v>
      </c>
      <c r="D31" s="209">
        <f>SUMPRODUCT(E31:N31,E28:N28)</f>
        <v>1.875</v>
      </c>
      <c r="E31" s="178">
        <v>1</v>
      </c>
      <c r="F31" s="172">
        <v>0.5</v>
      </c>
      <c r="G31" s="172">
        <v>0.25</v>
      </c>
      <c r="H31" s="172">
        <v>0.125</v>
      </c>
      <c r="I31" s="172"/>
      <c r="J31" s="172"/>
      <c r="K31" s="172"/>
      <c r="L31" s="172"/>
      <c r="M31" s="172"/>
      <c r="N31" s="172"/>
      <c r="O31" s="208" t="s">
        <v>145</v>
      </c>
      <c r="Q31" s="236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</row>
    <row r="32" spans="2:28">
      <c r="B32" s="205"/>
      <c r="C32" s="210" t="s">
        <v>370</v>
      </c>
      <c r="D32" s="169" t="s">
        <v>369</v>
      </c>
      <c r="E32" s="173" t="s">
        <v>3</v>
      </c>
      <c r="F32" s="173" t="s">
        <v>368</v>
      </c>
      <c r="G32" s="173" t="s">
        <v>359</v>
      </c>
      <c r="H32" s="173" t="s">
        <v>360</v>
      </c>
      <c r="I32" s="173"/>
      <c r="J32" s="173"/>
      <c r="K32" s="173"/>
      <c r="L32" s="173"/>
      <c r="M32" s="173"/>
      <c r="N32" s="173"/>
      <c r="O32" s="208" t="s">
        <v>142</v>
      </c>
      <c r="Q32" s="236"/>
      <c r="R32" s="75" t="s">
        <v>3</v>
      </c>
      <c r="S32" s="75" t="s">
        <v>368</v>
      </c>
      <c r="T32" s="75" t="s">
        <v>359</v>
      </c>
      <c r="U32" s="75" t="s">
        <v>360</v>
      </c>
      <c r="V32" s="75" t="s">
        <v>361</v>
      </c>
      <c r="W32" s="75" t="s">
        <v>362</v>
      </c>
      <c r="X32" s="75" t="s">
        <v>363</v>
      </c>
      <c r="Y32" s="75" t="s">
        <v>364</v>
      </c>
      <c r="Z32" s="75" t="s">
        <v>365</v>
      </c>
      <c r="AA32" s="75" t="s">
        <v>366</v>
      </c>
      <c r="AB32" s="75" t="s">
        <v>367</v>
      </c>
    </row>
    <row r="33" spans="2:28">
      <c r="B33" s="205"/>
      <c r="C33" s="210" t="s">
        <v>462</v>
      </c>
      <c r="D33" s="169" t="s">
        <v>461</v>
      </c>
      <c r="E33" s="173" t="s">
        <v>534</v>
      </c>
      <c r="F33" s="173" t="s">
        <v>534</v>
      </c>
      <c r="G33" s="173" t="s">
        <v>534</v>
      </c>
      <c r="H33" s="173" t="s">
        <v>534</v>
      </c>
      <c r="I33" s="181"/>
      <c r="J33" s="181"/>
      <c r="K33" s="181"/>
      <c r="L33" s="181"/>
      <c r="M33" s="181"/>
      <c r="N33" s="181"/>
      <c r="O33" s="208" t="s">
        <v>142</v>
      </c>
      <c r="Q33" s="236"/>
      <c r="R33" s="75" t="s">
        <v>534</v>
      </c>
      <c r="S33" s="75" t="s">
        <v>535</v>
      </c>
      <c r="T33" s="75"/>
      <c r="U33" s="75"/>
      <c r="V33" s="75"/>
      <c r="W33" s="75"/>
      <c r="X33" s="75"/>
      <c r="Y33" s="75"/>
      <c r="Z33" s="75"/>
      <c r="AA33" s="75"/>
      <c r="AB33" s="75"/>
    </row>
    <row r="34" spans="2:28">
      <c r="B34" s="205"/>
      <c r="C34" s="215" t="s">
        <v>454</v>
      </c>
      <c r="D34" s="132" t="s">
        <v>563</v>
      </c>
      <c r="E34" s="181" t="s">
        <v>463</v>
      </c>
      <c r="F34" s="181" t="s">
        <v>463</v>
      </c>
      <c r="G34" s="181" t="s">
        <v>463</v>
      </c>
      <c r="H34" s="181" t="s">
        <v>463</v>
      </c>
      <c r="I34" s="181"/>
      <c r="J34" s="181"/>
      <c r="K34" s="181"/>
      <c r="L34" s="181"/>
      <c r="M34" s="181"/>
      <c r="N34" s="181"/>
      <c r="O34" s="208" t="s">
        <v>142</v>
      </c>
      <c r="Q34" s="236"/>
      <c r="R34" s="75" t="s">
        <v>464</v>
      </c>
      <c r="S34" s="75" t="s">
        <v>463</v>
      </c>
      <c r="T34" s="75"/>
      <c r="U34" s="75"/>
      <c r="V34" s="75"/>
      <c r="W34" s="75"/>
      <c r="X34" s="75"/>
      <c r="Y34" s="75"/>
      <c r="Z34" s="75"/>
      <c r="AA34" s="75"/>
      <c r="AB34" s="75"/>
    </row>
    <row r="35" spans="2:28" ht="15.75" thickBot="1"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</row>
    <row r="36" spans="2:28">
      <c r="B36" s="216"/>
      <c r="C36" s="217" t="s">
        <v>278</v>
      </c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9"/>
    </row>
    <row r="37" spans="2:28" ht="18">
      <c r="B37" s="216"/>
      <c r="C37" s="220" t="s">
        <v>358</v>
      </c>
      <c r="D37" s="221"/>
      <c r="E37" s="221" t="s">
        <v>556</v>
      </c>
      <c r="F37" s="221"/>
      <c r="G37" s="221"/>
      <c r="H37" s="221"/>
      <c r="I37" s="221"/>
      <c r="J37" s="221"/>
      <c r="K37" s="221"/>
      <c r="L37" s="221"/>
      <c r="M37" s="221"/>
      <c r="N37" s="221"/>
      <c r="O37" s="222"/>
    </row>
    <row r="38" spans="2:28">
      <c r="B38" s="216"/>
      <c r="C38" s="220"/>
      <c r="D38" s="221"/>
      <c r="E38" s="221" t="s">
        <v>557</v>
      </c>
      <c r="F38" s="221"/>
      <c r="G38" s="221"/>
      <c r="H38" s="221"/>
      <c r="I38" s="221"/>
      <c r="J38" s="221"/>
      <c r="K38" s="221"/>
      <c r="L38" s="221"/>
      <c r="M38" s="221"/>
      <c r="N38" s="221"/>
      <c r="O38" s="222"/>
    </row>
    <row r="39" spans="2:28">
      <c r="B39" s="216"/>
      <c r="C39" s="220"/>
      <c r="D39" s="221"/>
      <c r="E39" s="221" t="s">
        <v>550</v>
      </c>
      <c r="F39" s="221"/>
      <c r="G39" s="221"/>
      <c r="H39" s="221"/>
      <c r="I39" s="221"/>
      <c r="J39" s="221"/>
      <c r="K39" s="221"/>
      <c r="L39" s="221"/>
      <c r="M39" s="221"/>
      <c r="N39" s="221"/>
      <c r="O39" s="222"/>
    </row>
    <row r="40" spans="2:28">
      <c r="B40" s="216"/>
      <c r="C40" s="223"/>
      <c r="D40" s="221"/>
      <c r="E40" s="221" t="s">
        <v>554</v>
      </c>
      <c r="F40" s="221"/>
      <c r="G40" s="221"/>
      <c r="H40" s="221"/>
      <c r="I40" s="221"/>
      <c r="J40" s="221"/>
      <c r="K40" s="221"/>
      <c r="L40" s="221"/>
      <c r="M40" s="221"/>
      <c r="N40" s="221"/>
      <c r="O40" s="222"/>
    </row>
    <row r="41" spans="2:28">
      <c r="B41" s="216"/>
      <c r="C41" s="223"/>
      <c r="D41" s="221"/>
      <c r="E41" s="221" t="s">
        <v>555</v>
      </c>
      <c r="F41" s="221"/>
      <c r="G41" s="221"/>
      <c r="H41" s="221"/>
      <c r="I41" s="221"/>
      <c r="J41" s="221"/>
      <c r="K41" s="221"/>
      <c r="L41" s="221"/>
      <c r="M41" s="221"/>
      <c r="N41" s="221"/>
      <c r="O41" s="222"/>
    </row>
    <row r="42" spans="2:28">
      <c r="B42" s="216"/>
      <c r="C42" s="223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2"/>
    </row>
    <row r="43" spans="2:28">
      <c r="B43" s="216"/>
      <c r="C43" s="220" t="s">
        <v>560</v>
      </c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2"/>
    </row>
    <row r="44" spans="2:28">
      <c r="B44" s="216"/>
      <c r="C44" s="223" t="s">
        <v>561</v>
      </c>
      <c r="D44" s="224" t="s">
        <v>559</v>
      </c>
      <c r="E44" s="225">
        <v>1</v>
      </c>
      <c r="F44" s="225">
        <v>0</v>
      </c>
      <c r="G44" s="225">
        <v>0</v>
      </c>
      <c r="H44" s="225">
        <v>0</v>
      </c>
      <c r="I44" s="225">
        <v>0</v>
      </c>
      <c r="J44" s="226" t="s">
        <v>371</v>
      </c>
      <c r="K44" s="221"/>
      <c r="L44" s="221"/>
      <c r="M44" s="221"/>
      <c r="N44" s="221"/>
      <c r="O44" s="222"/>
    </row>
    <row r="45" spans="2:28">
      <c r="B45" s="216"/>
      <c r="C45" s="223" t="s">
        <v>357</v>
      </c>
      <c r="D45" s="224" t="s">
        <v>559</v>
      </c>
      <c r="E45" s="225">
        <v>1</v>
      </c>
      <c r="F45" s="225">
        <v>0.5</v>
      </c>
      <c r="G45" s="225">
        <v>0.25</v>
      </c>
      <c r="H45" s="225">
        <v>0.125</v>
      </c>
      <c r="I45" s="225">
        <v>0</v>
      </c>
      <c r="J45" s="226" t="s">
        <v>371</v>
      </c>
      <c r="K45" s="221"/>
      <c r="L45" s="221"/>
      <c r="M45" s="221"/>
      <c r="N45" s="221"/>
      <c r="O45" s="222"/>
    </row>
    <row r="46" spans="2:28" ht="15.75" thickBot="1">
      <c r="B46" s="216"/>
      <c r="C46" s="227"/>
      <c r="D46" s="228"/>
      <c r="E46" s="229"/>
      <c r="F46" s="229"/>
      <c r="G46" s="229"/>
      <c r="H46" s="229"/>
      <c r="I46" s="229"/>
      <c r="J46" s="230"/>
      <c r="K46" s="231"/>
      <c r="L46" s="231"/>
      <c r="M46" s="231"/>
      <c r="N46" s="231"/>
      <c r="O46" s="232"/>
    </row>
    <row r="47" spans="2:28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</row>
    <row r="48" spans="2:28" ht="18.75">
      <c r="B48" s="198" t="s">
        <v>606</v>
      </c>
      <c r="C48" s="199"/>
      <c r="D48" s="199"/>
      <c r="E48" s="199"/>
      <c r="F48" s="146"/>
      <c r="G48" s="146"/>
      <c r="H48" s="146"/>
      <c r="I48" s="146"/>
      <c r="J48" s="146"/>
      <c r="K48" s="146"/>
      <c r="L48" s="146"/>
      <c r="M48" s="146"/>
      <c r="N48" s="146"/>
      <c r="O48" s="146"/>
    </row>
    <row r="49" spans="2:28">
      <c r="B49" s="146"/>
      <c r="C49" s="216"/>
      <c r="D49" s="216"/>
      <c r="E49" s="216"/>
      <c r="F49" s="216"/>
      <c r="G49" s="216"/>
      <c r="H49" s="216"/>
      <c r="I49" s="233"/>
      <c r="J49" s="146"/>
      <c r="K49" s="146"/>
      <c r="L49" s="146"/>
      <c r="M49" s="146"/>
      <c r="N49" s="146"/>
      <c r="O49" s="146"/>
    </row>
    <row r="50" spans="2:28">
      <c r="B50" s="146"/>
      <c r="C50" s="57" t="s">
        <v>568</v>
      </c>
      <c r="D50" s="146"/>
      <c r="E50" s="146"/>
      <c r="F50" s="174">
        <f>F17</f>
        <v>1</v>
      </c>
      <c r="H50" s="146"/>
      <c r="I50" s="194"/>
      <c r="J50" s="146"/>
      <c r="K50" s="146"/>
      <c r="L50" s="146"/>
      <c r="M50" s="146"/>
      <c r="N50" s="146"/>
      <c r="O50" s="146"/>
    </row>
    <row r="51" spans="2:28" ht="15" customHeight="1">
      <c r="B51" s="146"/>
      <c r="C51" s="146"/>
      <c r="E51" s="200">
        <f>IF(E52&gt;$F$50,0,1)</f>
        <v>1</v>
      </c>
      <c r="F51" s="200">
        <f t="shared" ref="F51:N51" si="4">IF(F52&gt;$F$50,0,1)</f>
        <v>0</v>
      </c>
      <c r="G51" s="200">
        <f t="shared" si="4"/>
        <v>0</v>
      </c>
      <c r="H51" s="200">
        <f t="shared" si="4"/>
        <v>0</v>
      </c>
      <c r="I51" s="200">
        <f t="shared" si="4"/>
        <v>0</v>
      </c>
      <c r="J51" s="200">
        <f t="shared" si="4"/>
        <v>0</v>
      </c>
      <c r="K51" s="200">
        <f t="shared" si="4"/>
        <v>0</v>
      </c>
      <c r="L51" s="200">
        <f t="shared" si="4"/>
        <v>0</v>
      </c>
      <c r="M51" s="200">
        <f t="shared" si="4"/>
        <v>0</v>
      </c>
      <c r="N51" s="200">
        <f t="shared" si="4"/>
        <v>0</v>
      </c>
      <c r="O51" s="146"/>
    </row>
    <row r="52" spans="2:28" ht="33.75" customHeight="1">
      <c r="B52" s="146"/>
      <c r="C52" s="201" t="s">
        <v>541</v>
      </c>
      <c r="D52" s="202" t="s">
        <v>537</v>
      </c>
      <c r="E52" s="203">
        <v>1</v>
      </c>
      <c r="F52" s="203">
        <v>2</v>
      </c>
      <c r="G52" s="203">
        <v>3</v>
      </c>
      <c r="H52" s="203">
        <v>4</v>
      </c>
      <c r="I52" s="203">
        <v>5</v>
      </c>
      <c r="J52" s="203">
        <v>6</v>
      </c>
      <c r="K52" s="203">
        <v>7</v>
      </c>
      <c r="L52" s="203">
        <v>8</v>
      </c>
      <c r="M52" s="203">
        <v>9</v>
      </c>
      <c r="N52" s="203">
        <v>10</v>
      </c>
      <c r="O52" s="204" t="s">
        <v>144</v>
      </c>
      <c r="W52" s="75"/>
      <c r="X52" s="75"/>
      <c r="Y52" s="75"/>
      <c r="Z52" s="75"/>
      <c r="AA52" s="75"/>
      <c r="AB52" s="75"/>
    </row>
    <row r="53" spans="2:28">
      <c r="B53" s="205"/>
      <c r="C53" s="206" t="s">
        <v>551</v>
      </c>
      <c r="D53" s="169" t="s">
        <v>539</v>
      </c>
      <c r="E53" s="207">
        <f>1-SUMPRODUCT(F51:N51,F53:N53)</f>
        <v>1</v>
      </c>
      <c r="F53" s="207">
        <f>ROUND(F54/$D$54,3)</f>
        <v>1</v>
      </c>
      <c r="G53" s="207">
        <f t="shared" ref="G53:N53" si="5">ROUND(G54/$D$54,3)</f>
        <v>0</v>
      </c>
      <c r="H53" s="207">
        <f t="shared" si="5"/>
        <v>0</v>
      </c>
      <c r="I53" s="207">
        <f t="shared" si="5"/>
        <v>0</v>
      </c>
      <c r="J53" s="207">
        <f t="shared" si="5"/>
        <v>0</v>
      </c>
      <c r="K53" s="207">
        <f t="shared" si="5"/>
        <v>0</v>
      </c>
      <c r="L53" s="207">
        <f t="shared" si="5"/>
        <v>0</v>
      </c>
      <c r="M53" s="207">
        <f t="shared" si="5"/>
        <v>0</v>
      </c>
      <c r="N53" s="207">
        <f t="shared" si="5"/>
        <v>0</v>
      </c>
      <c r="O53" s="208"/>
      <c r="W53" s="75"/>
      <c r="X53" s="75"/>
      <c r="Y53" s="75"/>
      <c r="Z53" s="75"/>
      <c r="AA53" s="75"/>
      <c r="AB53" s="75"/>
    </row>
    <row r="54" spans="2:28">
      <c r="B54" s="205"/>
      <c r="C54" s="206" t="s">
        <v>562</v>
      </c>
      <c r="D54" s="209">
        <f>SUMPRODUCT(E54:N54,E51:N51)</f>
        <v>1</v>
      </c>
      <c r="E54" s="172">
        <f>E21</f>
        <v>1</v>
      </c>
      <c r="F54" s="172">
        <f t="shared" ref="F54:N54" si="6">F21</f>
        <v>1</v>
      </c>
      <c r="G54" s="172">
        <f t="shared" si="6"/>
        <v>0</v>
      </c>
      <c r="H54" s="172">
        <f t="shared" si="6"/>
        <v>0</v>
      </c>
      <c r="I54" s="172">
        <f t="shared" si="6"/>
        <v>0</v>
      </c>
      <c r="J54" s="172">
        <f t="shared" si="6"/>
        <v>0</v>
      </c>
      <c r="K54" s="172">
        <f t="shared" si="6"/>
        <v>0</v>
      </c>
      <c r="L54" s="172">
        <f t="shared" si="6"/>
        <v>0</v>
      </c>
      <c r="M54" s="172">
        <f t="shared" si="6"/>
        <v>0</v>
      </c>
      <c r="N54" s="172">
        <f t="shared" si="6"/>
        <v>0</v>
      </c>
      <c r="O54" s="208" t="s">
        <v>145</v>
      </c>
      <c r="W54" s="75"/>
      <c r="X54" s="75"/>
      <c r="Y54" s="75"/>
      <c r="Z54" s="75"/>
      <c r="AA54" s="75"/>
      <c r="AB54" s="75"/>
    </row>
    <row r="55" spans="2:28">
      <c r="B55" s="205"/>
      <c r="C55" s="210" t="s">
        <v>137</v>
      </c>
      <c r="D55" s="211"/>
      <c r="E55" s="173" t="str">
        <f>E22</f>
        <v>DWD</v>
      </c>
      <c r="F55" s="173" t="str">
        <f t="shared" ref="F55:N55" si="7">F22</f>
        <v>DWD</v>
      </c>
      <c r="G55" s="173" t="str">
        <f t="shared" si="7"/>
        <v>DWD</v>
      </c>
      <c r="H55" s="173" t="str">
        <f t="shared" si="7"/>
        <v>DWD</v>
      </c>
      <c r="I55" s="173" t="str">
        <f t="shared" si="7"/>
        <v>DWD</v>
      </c>
      <c r="J55" s="173" t="str">
        <f t="shared" si="7"/>
        <v>DWD</v>
      </c>
      <c r="K55" s="173" t="str">
        <f t="shared" si="7"/>
        <v>DWD</v>
      </c>
      <c r="L55" s="173" t="str">
        <f t="shared" si="7"/>
        <v>DWD</v>
      </c>
      <c r="M55" s="173" t="str">
        <f t="shared" si="7"/>
        <v>DWD</v>
      </c>
      <c r="N55" s="173" t="str">
        <f t="shared" si="7"/>
        <v>DWD</v>
      </c>
      <c r="O55" s="208" t="s">
        <v>142</v>
      </c>
      <c r="W55" s="75"/>
      <c r="X55" s="75"/>
      <c r="Y55" s="75"/>
      <c r="Z55" s="75"/>
      <c r="AA55" s="75"/>
      <c r="AB55" s="75"/>
    </row>
    <row r="56" spans="2:28">
      <c r="B56" s="205"/>
      <c r="C56" s="210" t="s">
        <v>544</v>
      </c>
      <c r="D56" s="211"/>
      <c r="E56" s="173" t="str">
        <f>E23</f>
        <v>Quickborn</v>
      </c>
      <c r="F56" s="173" t="str">
        <f t="shared" ref="F56:N56" si="8">F23</f>
        <v>DEF-St.</v>
      </c>
      <c r="G56" s="173">
        <f t="shared" si="8"/>
        <v>0</v>
      </c>
      <c r="H56" s="173">
        <f t="shared" si="8"/>
        <v>0</v>
      </c>
      <c r="I56" s="173">
        <f t="shared" si="8"/>
        <v>0</v>
      </c>
      <c r="J56" s="173">
        <f t="shared" si="8"/>
        <v>0</v>
      </c>
      <c r="K56" s="173">
        <f t="shared" si="8"/>
        <v>0</v>
      </c>
      <c r="L56" s="173">
        <f t="shared" si="8"/>
        <v>0</v>
      </c>
      <c r="M56" s="173">
        <f t="shared" si="8"/>
        <v>0</v>
      </c>
      <c r="N56" s="173">
        <f t="shared" si="8"/>
        <v>0</v>
      </c>
      <c r="O56" s="208" t="s">
        <v>545</v>
      </c>
      <c r="W56" s="75"/>
      <c r="X56" s="75"/>
      <c r="Y56" s="75"/>
      <c r="Z56" s="75"/>
      <c r="AA56" s="75"/>
      <c r="AB56" s="75"/>
    </row>
    <row r="57" spans="2:28">
      <c r="B57" s="205"/>
      <c r="C57" s="210" t="s">
        <v>538</v>
      </c>
      <c r="D57" s="211"/>
      <c r="E57" s="177">
        <f>E24</f>
        <v>10146</v>
      </c>
      <c r="F57" s="177" t="str">
        <f t="shared" ref="F57:N57" si="9">F24</f>
        <v>xxxxx</v>
      </c>
      <c r="G57" s="177">
        <f t="shared" si="9"/>
        <v>0</v>
      </c>
      <c r="H57" s="177">
        <f t="shared" si="9"/>
        <v>0</v>
      </c>
      <c r="I57" s="177">
        <f t="shared" si="9"/>
        <v>0</v>
      </c>
      <c r="J57" s="177">
        <f t="shared" si="9"/>
        <v>0</v>
      </c>
      <c r="K57" s="177">
        <f t="shared" si="9"/>
        <v>0</v>
      </c>
      <c r="L57" s="177">
        <f t="shared" si="9"/>
        <v>0</v>
      </c>
      <c r="M57" s="177">
        <f t="shared" si="9"/>
        <v>0</v>
      </c>
      <c r="N57" s="177">
        <f t="shared" si="9"/>
        <v>0</v>
      </c>
      <c r="O57" s="208" t="s">
        <v>143</v>
      </c>
      <c r="W57" s="75"/>
      <c r="X57" s="75"/>
      <c r="Y57" s="75"/>
      <c r="Z57" s="75"/>
      <c r="AA57" s="75"/>
      <c r="AB57" s="75"/>
    </row>
    <row r="58" spans="2:28">
      <c r="B58" s="205"/>
      <c r="C58" s="210" t="s">
        <v>141</v>
      </c>
      <c r="D58" s="211"/>
      <c r="E58" s="175" t="str">
        <f>E25</f>
        <v>Temp. (2m)</v>
      </c>
      <c r="F58" s="175" t="str">
        <f t="shared" ref="F58:N58" si="10">F25</f>
        <v>Temp. (2m)</v>
      </c>
      <c r="G58" s="175">
        <f t="shared" si="10"/>
        <v>0</v>
      </c>
      <c r="H58" s="175">
        <f t="shared" si="10"/>
        <v>0</v>
      </c>
      <c r="I58" s="175">
        <f t="shared" si="10"/>
        <v>0</v>
      </c>
      <c r="J58" s="175">
        <f t="shared" si="10"/>
        <v>0</v>
      </c>
      <c r="K58" s="175">
        <f t="shared" si="10"/>
        <v>0</v>
      </c>
      <c r="L58" s="175">
        <f t="shared" si="10"/>
        <v>0</v>
      </c>
      <c r="M58" s="175">
        <f t="shared" si="10"/>
        <v>0</v>
      </c>
      <c r="N58" s="175">
        <f t="shared" si="10"/>
        <v>0</v>
      </c>
      <c r="O58" s="208" t="s">
        <v>142</v>
      </c>
      <c r="W58" s="75"/>
      <c r="X58" s="75"/>
      <c r="Y58" s="75"/>
      <c r="Z58" s="75"/>
      <c r="AA58" s="75"/>
      <c r="AB58" s="75"/>
    </row>
    <row r="59" spans="2:28"/>
    <row r="60" spans="2:28">
      <c r="C60" s="57" t="s">
        <v>543</v>
      </c>
      <c r="D60" s="146"/>
      <c r="E60" s="146"/>
      <c r="F60" s="174">
        <v>1</v>
      </c>
    </row>
    <row r="61" spans="2:28" ht="15" customHeight="1">
      <c r="E61" s="200">
        <f>IF(E62&gt;$F$60,0,1)</f>
        <v>1</v>
      </c>
      <c r="F61" s="200">
        <f t="shared" ref="F61:N61" si="11">IF(F62&gt;$F$60,0,1)</f>
        <v>0</v>
      </c>
      <c r="G61" s="200">
        <f t="shared" si="11"/>
        <v>0</v>
      </c>
      <c r="H61" s="200">
        <f t="shared" si="11"/>
        <v>0</v>
      </c>
      <c r="I61" s="200">
        <f t="shared" si="11"/>
        <v>0</v>
      </c>
      <c r="J61" s="200">
        <f t="shared" si="11"/>
        <v>0</v>
      </c>
      <c r="K61" s="200">
        <f t="shared" si="11"/>
        <v>0</v>
      </c>
      <c r="L61" s="200">
        <f t="shared" si="11"/>
        <v>0</v>
      </c>
      <c r="M61" s="200">
        <f t="shared" si="11"/>
        <v>0</v>
      </c>
      <c r="N61" s="200">
        <f t="shared" si="11"/>
        <v>0</v>
      </c>
    </row>
    <row r="62" spans="2:28" ht="18" customHeight="1">
      <c r="B62" s="146"/>
      <c r="C62" s="201" t="s">
        <v>140</v>
      </c>
      <c r="D62" s="202" t="s">
        <v>263</v>
      </c>
      <c r="E62" s="214">
        <v>1</v>
      </c>
      <c r="F62" s="214">
        <v>2</v>
      </c>
      <c r="G62" s="214">
        <v>3</v>
      </c>
      <c r="H62" s="214">
        <v>4</v>
      </c>
      <c r="I62" s="214">
        <v>5</v>
      </c>
      <c r="J62" s="214">
        <v>6</v>
      </c>
      <c r="K62" s="214">
        <v>7</v>
      </c>
      <c r="L62" s="214">
        <v>8</v>
      </c>
      <c r="M62" s="214">
        <v>9</v>
      </c>
      <c r="N62" s="214">
        <v>10</v>
      </c>
      <c r="O62" s="204" t="s">
        <v>144</v>
      </c>
    </row>
    <row r="63" spans="2:28">
      <c r="B63" s="205"/>
      <c r="C63" s="206" t="s">
        <v>552</v>
      </c>
      <c r="D63" s="209" t="s">
        <v>262</v>
      </c>
      <c r="E63" s="207">
        <f>1-SUMPRODUCT(F61:N61,F63:N63)</f>
        <v>1</v>
      </c>
      <c r="F63" s="207">
        <f>ROUND(F64/$D$64,3)</f>
        <v>0.5</v>
      </c>
      <c r="G63" s="207">
        <f t="shared" ref="G63:N63" si="12">ROUND(G64/$D$64,3)</f>
        <v>0.25</v>
      </c>
      <c r="H63" s="207">
        <f t="shared" si="12"/>
        <v>0.125</v>
      </c>
      <c r="I63" s="207">
        <f t="shared" si="12"/>
        <v>0</v>
      </c>
      <c r="J63" s="207">
        <f t="shared" si="12"/>
        <v>0</v>
      </c>
      <c r="K63" s="207">
        <f t="shared" si="12"/>
        <v>0</v>
      </c>
      <c r="L63" s="207">
        <f t="shared" si="12"/>
        <v>0</v>
      </c>
      <c r="M63" s="207">
        <f t="shared" si="12"/>
        <v>0</v>
      </c>
      <c r="N63" s="207">
        <f t="shared" si="12"/>
        <v>0</v>
      </c>
      <c r="O63" s="208"/>
    </row>
    <row r="64" spans="2:28">
      <c r="B64" s="205"/>
      <c r="C64" s="206" t="s">
        <v>558</v>
      </c>
      <c r="D64" s="209">
        <f>SUMPRODUCT(E64:N64,E61:N61)</f>
        <v>1</v>
      </c>
      <c r="E64" s="178">
        <f>E31</f>
        <v>1</v>
      </c>
      <c r="F64" s="178">
        <f t="shared" ref="F64:N64" si="13">F31</f>
        <v>0.5</v>
      </c>
      <c r="G64" s="178">
        <f t="shared" si="13"/>
        <v>0.25</v>
      </c>
      <c r="H64" s="178">
        <f t="shared" si="13"/>
        <v>0.125</v>
      </c>
      <c r="I64" s="178">
        <f t="shared" si="13"/>
        <v>0</v>
      </c>
      <c r="J64" s="178">
        <f t="shared" si="13"/>
        <v>0</v>
      </c>
      <c r="K64" s="178">
        <f t="shared" si="13"/>
        <v>0</v>
      </c>
      <c r="L64" s="178">
        <f t="shared" si="13"/>
        <v>0</v>
      </c>
      <c r="M64" s="178">
        <f t="shared" si="13"/>
        <v>0</v>
      </c>
      <c r="N64" s="178">
        <f t="shared" si="13"/>
        <v>0</v>
      </c>
      <c r="O64" s="208" t="s">
        <v>145</v>
      </c>
    </row>
    <row r="65" spans="2:15">
      <c r="B65" s="205"/>
      <c r="C65" s="210" t="s">
        <v>370</v>
      </c>
      <c r="D65" s="169" t="s">
        <v>369</v>
      </c>
      <c r="E65" s="173" t="str">
        <f>E32</f>
        <v>D</v>
      </c>
      <c r="F65" s="173" t="str">
        <f t="shared" ref="F65:N65" si="14">F32</f>
        <v>D-1</v>
      </c>
      <c r="G65" s="173" t="str">
        <f t="shared" si="14"/>
        <v>D-2</v>
      </c>
      <c r="H65" s="173" t="str">
        <f t="shared" si="14"/>
        <v>D-3</v>
      </c>
      <c r="I65" s="173">
        <f t="shared" si="14"/>
        <v>0</v>
      </c>
      <c r="J65" s="173">
        <f t="shared" si="14"/>
        <v>0</v>
      </c>
      <c r="K65" s="173">
        <f t="shared" si="14"/>
        <v>0</v>
      </c>
      <c r="L65" s="173">
        <f t="shared" si="14"/>
        <v>0</v>
      </c>
      <c r="M65" s="173">
        <f t="shared" si="14"/>
        <v>0</v>
      </c>
      <c r="N65" s="173">
        <f t="shared" si="14"/>
        <v>0</v>
      </c>
      <c r="O65" s="208" t="s">
        <v>142</v>
      </c>
    </row>
    <row r="66" spans="2:15">
      <c r="B66" s="205"/>
      <c r="C66" s="210" t="s">
        <v>462</v>
      </c>
      <c r="D66" s="169" t="s">
        <v>461</v>
      </c>
      <c r="E66" s="176" t="str">
        <f>E33</f>
        <v>Gastag</v>
      </c>
      <c r="F66" s="176" t="str">
        <f t="shared" ref="F66:N66" si="15">F33</f>
        <v>Gastag</v>
      </c>
      <c r="G66" s="176" t="str">
        <f t="shared" si="15"/>
        <v>Gastag</v>
      </c>
      <c r="H66" s="176" t="str">
        <f t="shared" si="15"/>
        <v>Gastag</v>
      </c>
      <c r="I66" s="181">
        <f t="shared" si="15"/>
        <v>0</v>
      </c>
      <c r="J66" s="181">
        <f t="shared" si="15"/>
        <v>0</v>
      </c>
      <c r="K66" s="181">
        <f t="shared" si="15"/>
        <v>0</v>
      </c>
      <c r="L66" s="181">
        <f t="shared" si="15"/>
        <v>0</v>
      </c>
      <c r="M66" s="181">
        <f t="shared" si="15"/>
        <v>0</v>
      </c>
      <c r="N66" s="181">
        <f t="shared" si="15"/>
        <v>0</v>
      </c>
      <c r="O66" s="208" t="s">
        <v>142</v>
      </c>
    </row>
    <row r="67" spans="2:15">
      <c r="B67" s="205"/>
      <c r="C67" s="215" t="s">
        <v>454</v>
      </c>
      <c r="D67" s="132" t="s">
        <v>563</v>
      </c>
      <c r="E67" s="182" t="s">
        <v>464</v>
      </c>
      <c r="F67" s="182" t="str">
        <f t="shared" ref="F67:N67" si="16">F34</f>
        <v>Temp.-Prog.</v>
      </c>
      <c r="G67" s="182" t="str">
        <f t="shared" si="16"/>
        <v>Temp.-Prog.</v>
      </c>
      <c r="H67" s="182" t="str">
        <f t="shared" si="16"/>
        <v>Temp.-Prog.</v>
      </c>
      <c r="I67" s="182">
        <f t="shared" si="16"/>
        <v>0</v>
      </c>
      <c r="J67" s="182">
        <f t="shared" si="16"/>
        <v>0</v>
      </c>
      <c r="K67" s="182">
        <f t="shared" si="16"/>
        <v>0</v>
      </c>
      <c r="L67" s="182">
        <f t="shared" si="16"/>
        <v>0</v>
      </c>
      <c r="M67" s="182">
        <f t="shared" si="16"/>
        <v>0</v>
      </c>
      <c r="N67" s="182">
        <f t="shared" si="16"/>
        <v>0</v>
      </c>
      <c r="O67" s="208" t="s">
        <v>142</v>
      </c>
    </row>
    <row r="68" spans="2:15"/>
    <row r="69" spans="2:15" ht="15.75" customHeight="1">
      <c r="C69" s="320" t="s">
        <v>607</v>
      </c>
      <c r="D69" s="320"/>
      <c r="E69" s="320"/>
      <c r="F69" s="320"/>
    </row>
    <row r="70" spans="2:15"/>
    <row r="71" spans="2:15" hidden="1"/>
    <row r="72" spans="2:15" hidden="1"/>
    <row r="73" spans="2:15" hidden="1"/>
    <row r="74" spans="2:15" hidden="1"/>
    <row r="75" spans="2:15"/>
  </sheetData>
  <sheetProtection sheet="1" objects="1" scenarios="1"/>
  <mergeCells count="4">
    <mergeCell ref="C12:E12"/>
    <mergeCell ref="C13:D13"/>
    <mergeCell ref="C14:D14"/>
    <mergeCell ref="C69:F69"/>
  </mergeCells>
  <conditionalFormatting sqref="E21:N24">
    <cfRule type="expression" dxfId="30" priority="23">
      <formula>IF(E$19&lt;=$F$17,1,0)</formula>
    </cfRule>
  </conditionalFormatting>
  <conditionalFormatting sqref="E31:N34">
    <cfRule type="expression" dxfId="29" priority="22">
      <formula>IF(E$29&lt;=$F$27,1,0)</formula>
    </cfRule>
  </conditionalFormatting>
  <conditionalFormatting sqref="E25:F25">
    <cfRule type="expression" dxfId="28" priority="21">
      <formula>IF(E$19&lt;=$F$17,1,0)</formula>
    </cfRule>
  </conditionalFormatting>
  <conditionalFormatting sqref="E25:N25">
    <cfRule type="expression" dxfId="27" priority="20">
      <formula>IF(E$19&lt;=$F$17,1,0)</formula>
    </cfRule>
  </conditionalFormatting>
  <conditionalFormatting sqref="E54:N57">
    <cfRule type="expression" dxfId="26" priority="17">
      <formula>IF(E$52&lt;=$F$50,1,0)</formula>
    </cfRule>
  </conditionalFormatting>
  <conditionalFormatting sqref="E58:N58">
    <cfRule type="expression" dxfId="25" priority="16">
      <formula>IF(E$52&lt;=$F$50,1,0)</formula>
    </cfRule>
  </conditionalFormatting>
  <conditionalFormatting sqref="E64:N66">
    <cfRule type="expression" dxfId="24" priority="10">
      <formula>IF(E$62&lt;=$F$60,1,0)</formula>
    </cfRule>
  </conditionalFormatting>
  <conditionalFormatting sqref="E63:N67">
    <cfRule type="expression" dxfId="23" priority="8">
      <formula>IF(E$62&gt;$F$60,1,0)</formula>
    </cfRule>
  </conditionalFormatting>
  <conditionalFormatting sqref="E54:N58">
    <cfRule type="expression" dxfId="22" priority="7">
      <formula>IF(E$52&gt;$F$50,1,0)</formula>
    </cfRule>
  </conditionalFormatting>
  <conditionalFormatting sqref="E20:N25">
    <cfRule type="expression" dxfId="21" priority="6">
      <formula>IF(E$19&gt;$F$17,1,0)</formula>
    </cfRule>
  </conditionalFormatting>
  <conditionalFormatting sqref="E31:N34">
    <cfRule type="expression" dxfId="20" priority="5">
      <formula>IF(E$29&gt;$F$27,1,0)</formula>
    </cfRule>
  </conditionalFormatting>
  <conditionalFormatting sqref="H8:H10">
    <cfRule type="expression" dxfId="19" priority="4">
      <formula>IF($F$9=1,1,0)</formula>
    </cfRule>
  </conditionalFormatting>
  <conditionalFormatting sqref="E53:N53">
    <cfRule type="expression" dxfId="18" priority="3">
      <formula>IF(E$52&gt;$F$50,1,0)</formula>
    </cfRule>
  </conditionalFormatting>
  <conditionalFormatting sqref="E30:N30">
    <cfRule type="expression" dxfId="17" priority="2">
      <formula>IF(E$29&gt;$F$27,1,0)</formula>
    </cfRule>
  </conditionalFormatting>
  <conditionalFormatting sqref="E67:N67">
    <cfRule type="expression" dxfId="16" priority="1">
      <formula>IF(E$62&lt;=$F$60,1,0)</formula>
    </cfRule>
  </conditionalFormatting>
  <dataValidations count="12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4:N34 E67:N67">
      <formula1>$R$34:$S$34</formula1>
    </dataValidation>
    <dataValidation type="list" allowBlank="1" showInputMessage="1" showErrorMessage="1" sqref="E25:N25 E58:N58">
      <formula1>$R$25:$S$25</formula1>
    </dataValidation>
    <dataValidation type="list" allowBlank="1" showInputMessage="1" showErrorMessage="1" errorTitle="Prognosezeitraum" error="Werte zwischen 0 - 240h" sqref="E32:N32 E65:N65">
      <formula1>$R$32:$AB$32</formula1>
    </dataValidation>
    <dataValidation type="list" allowBlank="1" showInputMessage="1" showErrorMessage="1" sqref="E33:N33 E66:N66">
      <formula1>$R$33:$S$33</formula1>
    </dataValidation>
    <dataValidation type="list" allowBlank="1" showInputMessage="1" showErrorMessage="1" sqref="E22:N22 E55:N55">
      <formula1>$R$22:$T$22</formula1>
    </dataValidation>
    <dataValidation type="list" allowBlank="1" showInputMessage="1" showErrorMessage="1" sqref="F50">
      <formula1>$E$52:$N$52</formula1>
    </dataValidation>
    <dataValidation type="list" allowBlank="1" showInputMessage="1" showErrorMessage="1" sqref="F17">
      <formula1>$E$19:$N$19</formula1>
    </dataValidation>
    <dataValidation type="list" allowBlank="1" showInputMessage="1" showErrorMessage="1" sqref="F27">
      <formula1>$E$29:$N$29</formula1>
    </dataValidation>
    <dataValidation type="list" allowBlank="1" showInputMessage="1" showErrorMessage="1" sqref="F60">
      <formula1>$E$62:$N$62</formula1>
    </dataValidation>
    <dataValidation type="list" allowBlank="1" showInputMessage="1" showErrorMessage="1" sqref="F13:F14">
      <formula1>$R$14:$AV$14</formula1>
    </dataValidation>
    <dataValidation type="list" allowBlank="1" showInputMessage="1" showErrorMessage="1" sqref="G13:G14">
      <formula1>$R$13:$AC$13</formula1>
    </dataValidation>
  </dataValidations>
  <pageMargins left="0.25" right="0.25" top="0.75" bottom="0.75" header="0.3" footer="0.3"/>
  <pageSetup paperSize="9" scale="43" orientation="landscape" r:id="rId1"/>
  <ignoredErrors>
    <ignoredError sqref="E64:N66 E54:F54 E31:N33 E25:N25 E56:N58 E55:F55 G55:N55 E21:F21 I21:N21 I54:N54 G54:H54 F50 G23:N23 E34 I34:N34 F67:N67 F24:N2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'SLP-Verfahren'!$H$29:$V$29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5" tint="-0.249977111117893"/>
    <pageSetUpPr fitToPage="1"/>
  </sheetPr>
  <dimension ref="A1:X59"/>
  <sheetViews>
    <sheetView showGridLines="0" zoomScale="80" zoomScaleNormal="80" workbookViewId="0">
      <selection activeCell="G25" sqref="G25"/>
    </sheetView>
  </sheetViews>
  <sheetFormatPr baseColWidth="10" defaultColWidth="0" defaultRowHeight="15" zeroHeight="1"/>
  <cols>
    <col min="1" max="1" width="2.85546875" style="144" customWidth="1"/>
    <col min="2" max="2" width="8" style="144" customWidth="1"/>
    <col min="3" max="3" width="37.42578125" style="144" customWidth="1"/>
    <col min="4" max="4" width="10.7109375" style="144" customWidth="1"/>
    <col min="5" max="6" width="11.42578125" style="144" customWidth="1"/>
    <col min="7" max="7" width="12.7109375" style="144" customWidth="1"/>
    <col min="8" max="8" width="15.42578125" style="144" customWidth="1"/>
    <col min="9" max="10" width="12.7109375" style="144" customWidth="1"/>
    <col min="11" max="11" width="11.42578125" style="144" customWidth="1"/>
    <col min="12" max="15" width="12.7109375" style="144" customWidth="1"/>
    <col min="16" max="16" width="14.140625" style="144" customWidth="1"/>
    <col min="17" max="24" width="11.42578125" style="144" customWidth="1"/>
    <col min="25" max="16384" width="11.42578125" style="144" hidden="1"/>
  </cols>
  <sheetData>
    <row r="1" spans="2:24" ht="75" customHeight="1" thickBot="1"/>
    <row r="2" spans="2:24" ht="23.25">
      <c r="B2" s="145" t="s">
        <v>373</v>
      </c>
    </row>
    <row r="3" spans="2:24">
      <c r="B3" s="146" t="s">
        <v>477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</row>
    <row r="4" spans="2:24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2:24">
      <c r="B5" s="146"/>
      <c r="C5" s="54" t="s">
        <v>378</v>
      </c>
      <c r="D5" s="55" t="str">
        <f>Netzbetreiber!$D$9</f>
        <v>ews-Netz GmbH</v>
      </c>
      <c r="E5" s="146"/>
      <c r="H5" s="99" t="s">
        <v>508</v>
      </c>
      <c r="I5" s="147" t="s">
        <v>511</v>
      </c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</row>
    <row r="6" spans="2:24">
      <c r="B6" s="146"/>
      <c r="C6" s="54" t="s">
        <v>345</v>
      </c>
      <c r="D6" s="55" t="str">
        <f>Netzbetreiber!$D$28</f>
        <v>EWS Netz</v>
      </c>
      <c r="E6" s="146"/>
      <c r="F6" s="146"/>
      <c r="G6" s="146"/>
      <c r="I6" s="147" t="s">
        <v>530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</row>
    <row r="7" spans="2:24">
      <c r="B7" s="146"/>
      <c r="C7" s="56" t="s">
        <v>498</v>
      </c>
      <c r="D7" s="55" t="str">
        <f>Netzbetreiber!$D$11</f>
        <v>9870105600000</v>
      </c>
      <c r="E7" s="146"/>
      <c r="F7" s="146"/>
      <c r="G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</row>
    <row r="8" spans="2:24">
      <c r="B8" s="146"/>
      <c r="C8" s="54" t="s">
        <v>133</v>
      </c>
      <c r="D8" s="53">
        <f>Netzbetreiber!$D$6</f>
        <v>42278</v>
      </c>
      <c r="E8" s="146"/>
      <c r="F8" s="146"/>
      <c r="G8" s="146"/>
      <c r="H8" s="144" t="s">
        <v>506</v>
      </c>
      <c r="I8" s="146"/>
      <c r="J8" s="148">
        <f>COUNTA(D12:D100)</f>
        <v>6</v>
      </c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</row>
    <row r="9" spans="2:24">
      <c r="B9" s="146"/>
      <c r="C9" s="146"/>
      <c r="D9" s="146"/>
      <c r="E9" s="146"/>
      <c r="F9" s="149">
        <v>2</v>
      </c>
      <c r="G9" s="149">
        <v>4</v>
      </c>
      <c r="H9" s="149">
        <v>5</v>
      </c>
      <c r="I9" s="149">
        <v>6</v>
      </c>
      <c r="J9" s="149">
        <v>7</v>
      </c>
      <c r="K9" s="149">
        <v>8</v>
      </c>
      <c r="L9" s="149">
        <v>9</v>
      </c>
      <c r="M9" s="149">
        <v>10</v>
      </c>
      <c r="N9" s="149">
        <v>11</v>
      </c>
      <c r="O9" s="149">
        <v>12</v>
      </c>
      <c r="P9" s="149">
        <v>8</v>
      </c>
      <c r="Q9" s="149">
        <v>3</v>
      </c>
      <c r="R9" s="149">
        <v>4</v>
      </c>
      <c r="S9" s="149">
        <v>5</v>
      </c>
      <c r="T9" s="149">
        <v>6</v>
      </c>
      <c r="U9" s="149">
        <v>7</v>
      </c>
      <c r="V9" s="149">
        <v>8</v>
      </c>
      <c r="W9" s="149">
        <v>9</v>
      </c>
    </row>
    <row r="10" spans="2:24" ht="45.75" thickBot="1">
      <c r="B10" s="150" t="s">
        <v>256</v>
      </c>
      <c r="C10" s="151" t="s">
        <v>505</v>
      </c>
      <c r="D10" s="150" t="s">
        <v>147</v>
      </c>
      <c r="E10" s="151" t="s">
        <v>533</v>
      </c>
      <c r="F10" s="151" t="s">
        <v>148</v>
      </c>
      <c r="G10" s="163" t="s">
        <v>0</v>
      </c>
      <c r="H10" s="163" t="s">
        <v>1</v>
      </c>
      <c r="I10" s="163" t="s">
        <v>2</v>
      </c>
      <c r="J10" s="164" t="s">
        <v>3</v>
      </c>
      <c r="K10" s="165" t="s">
        <v>522</v>
      </c>
      <c r="L10" s="166" t="s">
        <v>518</v>
      </c>
      <c r="M10" s="167" t="s">
        <v>519</v>
      </c>
      <c r="N10" s="167" t="s">
        <v>520</v>
      </c>
      <c r="O10" s="168" t="s">
        <v>521</v>
      </c>
      <c r="P10" s="162" t="s">
        <v>532</v>
      </c>
      <c r="Q10" s="152" t="s">
        <v>245</v>
      </c>
      <c r="R10" s="153" t="s">
        <v>246</v>
      </c>
      <c r="S10" s="153" t="s">
        <v>247</v>
      </c>
      <c r="T10" s="153" t="s">
        <v>248</v>
      </c>
      <c r="U10" s="153" t="s">
        <v>249</v>
      </c>
      <c r="V10" s="153" t="s">
        <v>250</v>
      </c>
      <c r="W10" s="154" t="s">
        <v>251</v>
      </c>
    </row>
    <row r="11" spans="2:24" ht="15.75" thickBot="1">
      <c r="B11" s="155" t="s">
        <v>507</v>
      </c>
      <c r="C11" s="156" t="s">
        <v>531</v>
      </c>
      <c r="D11" s="142" t="s">
        <v>255</v>
      </c>
      <c r="E11" s="183" t="s">
        <v>67</v>
      </c>
      <c r="F11" s="143" t="str">
        <f>VLOOKUP($E11,'BDEW-Standard'!$B$3:$M$158,F$9,0)</f>
        <v>V24</v>
      </c>
      <c r="G11" s="186">
        <f>ROUND(VLOOKUP($E11,'BDEW-Standard'!$B$3:$M$158,G$9,0),7)</f>
        <v>2.4859160999999999</v>
      </c>
      <c r="H11" s="186">
        <f>ROUND(VLOOKUP($E11,'BDEW-Standard'!$B$3:$M$158,H$9,0),7)</f>
        <v>-35.043597800000001</v>
      </c>
      <c r="I11" s="186">
        <f>ROUND(VLOOKUP($E11,'BDEW-Standard'!$B$3:$M$158,I$9,0),7)</f>
        <v>6.2818214000000001</v>
      </c>
      <c r="J11" s="186">
        <f>ROUND(VLOOKUP($E11,'BDEW-Standard'!$B$3:$M$158,J$9,0),7)</f>
        <v>0.1282547</v>
      </c>
      <c r="K11" s="239">
        <f>ROUND(VLOOKUP($E11,'BDEW-Standard'!$B$3:$M$158,K$9,0),1)</f>
        <v>40</v>
      </c>
      <c r="L11" s="186">
        <f>ROUND(VLOOKUP($E11,'BDEW-Standard'!$B$3:$M$158,L$9,0),7)</f>
        <v>0</v>
      </c>
      <c r="M11" s="186">
        <f>ROUND(VLOOKUP($E11,'BDEW-Standard'!$B$3:$M$158,M$9,0),7)</f>
        <v>0</v>
      </c>
      <c r="N11" s="186">
        <f>ROUND(VLOOKUP($E11,'BDEW-Standard'!$B$3:$M$158,N$9,0),7)</f>
        <v>0</v>
      </c>
      <c r="O11" s="186">
        <f>ROUND(VLOOKUP($E11,'BDEW-Standard'!$B$3:$M$158,O$9,0),7)</f>
        <v>0</v>
      </c>
      <c r="P11" s="238">
        <f t="shared" ref="P11:P16" si="0">(G11/(1+(H11/($P$9-K11))^I11)+J11)+MAX(L11*$P$9+M11,N11*$P$9+O11)</f>
        <v>1.0258303127680664</v>
      </c>
      <c r="Q11" s="188">
        <f>ROUND(VLOOKUP(MID($E11,4,3),'Wochentag F(WT)'!$B$7:$J$22,Q$9,0),4)</f>
        <v>1</v>
      </c>
      <c r="R11" s="188">
        <f>ROUND(VLOOKUP(MID($E11,4,3),'Wochentag F(WT)'!$B$7:$J$22,R$9,0),4)</f>
        <v>1</v>
      </c>
      <c r="S11" s="188">
        <f>ROUND(VLOOKUP(MID($E11,4,3),'Wochentag F(WT)'!$B$7:$J$22,S$9,0),4)</f>
        <v>1</v>
      </c>
      <c r="T11" s="188">
        <f>ROUND(VLOOKUP(MID($E11,4,3),'Wochentag F(WT)'!$B$7:$J$22,T$9,0),4)</f>
        <v>1</v>
      </c>
      <c r="U11" s="188">
        <f>ROUND(VLOOKUP(MID($E11,4,3),'Wochentag F(WT)'!$B$7:$J$22,U$9,0),4)</f>
        <v>1</v>
      </c>
      <c r="V11" s="188">
        <f>ROUND(VLOOKUP(MID($E11,4,3),'Wochentag F(WT)'!$B$7:$J$22,V$9,0),4)</f>
        <v>1</v>
      </c>
      <c r="W11" s="189">
        <f t="shared" ref="W11:W16" si="1">7-SUM(Q11:V11)</f>
        <v>1</v>
      </c>
    </row>
    <row r="12" spans="2:24">
      <c r="B12" s="157">
        <v>1</v>
      </c>
      <c r="C12" s="158" t="str">
        <f t="shared" ref="C12:C41" si="2">$D$6</f>
        <v>EWS Netz</v>
      </c>
      <c r="D12" s="64" t="s">
        <v>255</v>
      </c>
      <c r="E12" s="184" t="s">
        <v>614</v>
      </c>
      <c r="F12" s="65" t="str">
        <f>VLOOKUP($E12,'BDEW-Standard'!$B$3:$M$158,F$9,0)</f>
        <v>KO4</v>
      </c>
      <c r="G12" s="187">
        <f>ROUND(VLOOKUP($E12,'BDEW-Standard'!$B$3:$M$158,G$9,0),7)</f>
        <v>3.4428942999999999</v>
      </c>
      <c r="H12" s="187">
        <f>ROUND(VLOOKUP($E12,'BDEW-Standard'!$B$3:$M$158,H$9,0),7)</f>
        <v>-36.659050399999998</v>
      </c>
      <c r="I12" s="187">
        <f>ROUND(VLOOKUP($E12,'BDEW-Standard'!$B$3:$M$158,I$9,0),7)</f>
        <v>7.6083226000000002</v>
      </c>
      <c r="J12" s="187">
        <f>ROUND(VLOOKUP($E12,'BDEW-Standard'!$B$3:$M$158,J$9,0),7)</f>
        <v>7.4685000000000001E-2</v>
      </c>
      <c r="K12" s="67">
        <f>ROUND(VLOOKUP($E12,'BDEW-Standard'!$B$3:$M$158,K$9,0),1)</f>
        <v>40</v>
      </c>
      <c r="L12" s="187">
        <f>ROUND(VLOOKUP($E12,'BDEW-Standard'!$B$3:$M$158,L$9,0),7)</f>
        <v>0</v>
      </c>
      <c r="M12" s="187">
        <f>ROUND(VLOOKUP($E12,'BDEW-Standard'!$B$3:$M$158,M$9,0),7)</f>
        <v>0</v>
      </c>
      <c r="N12" s="187">
        <f>ROUND(VLOOKUP($E12,'BDEW-Standard'!$B$3:$M$158,N$9,0),7)</f>
        <v>0</v>
      </c>
      <c r="O12" s="187">
        <f>ROUND(VLOOKUP($E12,'BDEW-Standard'!$B$3:$M$158,O$9,0),7)</f>
        <v>0</v>
      </c>
      <c r="P12" s="240">
        <f t="shared" si="0"/>
        <v>0.97768382110526542</v>
      </c>
      <c r="Q12" s="190">
        <f>ROUND(VLOOKUP(MID($E12,4,3),'Wochentag F(WT)'!$B$7:$J$22,Q$9,0),4)</f>
        <v>1.0354000000000001</v>
      </c>
      <c r="R12" s="190">
        <f>ROUND(VLOOKUP(MID($E12,4,3),'Wochentag F(WT)'!$B$7:$J$22,R$9,0),4)</f>
        <v>1.0523</v>
      </c>
      <c r="S12" s="190">
        <f>ROUND(VLOOKUP(MID($E12,4,3),'Wochentag F(WT)'!$B$7:$J$22,S$9,0),4)</f>
        <v>1.0448999999999999</v>
      </c>
      <c r="T12" s="190">
        <f>ROUND(VLOOKUP(MID($E12,4,3),'Wochentag F(WT)'!$B$7:$J$22,T$9,0),4)</f>
        <v>1.0494000000000001</v>
      </c>
      <c r="U12" s="190">
        <f>ROUND(VLOOKUP(MID($E12,4,3),'Wochentag F(WT)'!$B$7:$J$22,U$9,0),4)</f>
        <v>0.98850000000000005</v>
      </c>
      <c r="V12" s="190">
        <f>ROUND(VLOOKUP(MID($E12,4,3),'Wochentag F(WT)'!$B$7:$J$22,V$9,0),4)</f>
        <v>0.88600000000000001</v>
      </c>
      <c r="W12" s="191">
        <f t="shared" si="1"/>
        <v>0.94349999999999934</v>
      </c>
      <c r="X12" s="237"/>
    </row>
    <row r="13" spans="2:24" s="159" customFormat="1">
      <c r="B13" s="160">
        <v>2</v>
      </c>
      <c r="C13" s="161" t="str">
        <f t="shared" si="2"/>
        <v>EWS Netz</v>
      </c>
      <c r="D13" s="64" t="s">
        <v>255</v>
      </c>
      <c r="E13" s="184" t="s">
        <v>621</v>
      </c>
      <c r="F13" s="65" t="str">
        <f>VLOOKUP($E13,'BDEW-Standard'!$B$3:$M$158,F$9,0)</f>
        <v>D15</v>
      </c>
      <c r="G13" s="187">
        <f>ROUND(VLOOKUP($E13,'BDEW-Standard'!$B$3:$M$158,G$9,0),7)</f>
        <v>3.3456667000000002</v>
      </c>
      <c r="H13" s="187">
        <f>ROUND(VLOOKUP($E13,'BDEW-Standard'!$B$3:$M$158,H$9,0),7)</f>
        <v>-37.526831600000001</v>
      </c>
      <c r="I13" s="187">
        <f>ROUND(VLOOKUP($E13,'BDEW-Standard'!$B$3:$M$158,I$9,0),7)</f>
        <v>6.4328937000000002</v>
      </c>
      <c r="J13" s="187">
        <f>ROUND(VLOOKUP($E13,'BDEW-Standard'!$B$3:$M$158,J$9,0),7)</f>
        <v>5.6256599999999997E-2</v>
      </c>
      <c r="K13" s="67">
        <f>ROUND(VLOOKUP($E13,'BDEW-Standard'!$B$3:$M$158,K$9,0),1)</f>
        <v>40</v>
      </c>
      <c r="L13" s="187">
        <f>ROUND(VLOOKUP($E13,'BDEW-Standard'!$B$3:$M$158,L$9,0),7)</f>
        <v>0</v>
      </c>
      <c r="M13" s="187">
        <f>ROUND(VLOOKUP($E13,'BDEW-Standard'!$B$3:$M$158,M$9,0),7)</f>
        <v>0</v>
      </c>
      <c r="N13" s="187">
        <f>ROUND(VLOOKUP($E13,'BDEW-Standard'!$B$3:$M$158,N$9,0),7)</f>
        <v>0</v>
      </c>
      <c r="O13" s="187">
        <f>ROUND(VLOOKUP($E13,'BDEW-Standard'!$B$3:$M$158,O$9,0),7)</f>
        <v>0</v>
      </c>
      <c r="P13" s="240">
        <f t="shared" ref="P13" si="3">(G13/(1+(H13/($P$9-K13))^I13)+J13)+MAX(L13*$P$9+M13,N13*$P$9+O13)</f>
        <v>0.93976653032332869</v>
      </c>
      <c r="Q13" s="190">
        <f>ROUND(VLOOKUP(MID($E13,4,3),'Wochentag F(WT)'!$B$7:$J$22,Q$9,0),4)</f>
        <v>1</v>
      </c>
      <c r="R13" s="190">
        <f>ROUND(VLOOKUP(MID($E13,4,3),'Wochentag F(WT)'!$B$7:$J$22,R$9,0),4)</f>
        <v>1</v>
      </c>
      <c r="S13" s="190">
        <f>ROUND(VLOOKUP(MID($E13,4,3),'Wochentag F(WT)'!$B$7:$J$22,S$9,0),4)</f>
        <v>1</v>
      </c>
      <c r="T13" s="190">
        <f>ROUND(VLOOKUP(MID($E13,4,3),'Wochentag F(WT)'!$B$7:$J$22,T$9,0),4)</f>
        <v>1</v>
      </c>
      <c r="U13" s="190">
        <f>ROUND(VLOOKUP(MID($E13,4,3),'Wochentag F(WT)'!$B$7:$J$22,U$9,0),4)</f>
        <v>1</v>
      </c>
      <c r="V13" s="190">
        <f>ROUND(VLOOKUP(MID($E13,4,3),'Wochentag F(WT)'!$B$7:$J$22,V$9,0),4)</f>
        <v>1</v>
      </c>
      <c r="W13" s="191">
        <f t="shared" ref="W13" si="4">7-SUM(Q13:V13)</f>
        <v>1</v>
      </c>
      <c r="X13" s="237"/>
    </row>
    <row r="14" spans="2:24" s="159" customFormat="1">
      <c r="B14" s="160">
        <v>3</v>
      </c>
      <c r="C14" s="161" t="str">
        <f t="shared" si="2"/>
        <v>EWS Netz</v>
      </c>
      <c r="D14" s="64" t="s">
        <v>255</v>
      </c>
      <c r="E14" s="184" t="s">
        <v>615</v>
      </c>
      <c r="F14" s="65" t="str">
        <f>VLOOKUP($E14,'BDEW-Standard'!$B$3:$M$158,F$9,0)</f>
        <v>HA4</v>
      </c>
      <c r="G14" s="187">
        <f>ROUND(VLOOKUP($E14,'BDEW-Standard'!$B$3:$M$158,G$9,0),7)</f>
        <v>4.0196902000000003</v>
      </c>
      <c r="H14" s="187">
        <f>ROUND(VLOOKUP($E14,'BDEW-Standard'!$B$3:$M$158,H$9,0),7)</f>
        <v>-37.828203700000003</v>
      </c>
      <c r="I14" s="187">
        <f>ROUND(VLOOKUP($E14,'BDEW-Standard'!$B$3:$M$158,I$9,0),7)</f>
        <v>8.1593368999999996</v>
      </c>
      <c r="J14" s="187">
        <f>ROUND(VLOOKUP($E14,'BDEW-Standard'!$B$3:$M$158,J$9,0),7)</f>
        <v>4.72845E-2</v>
      </c>
      <c r="K14" s="67">
        <f>ROUND(VLOOKUP($E14,'BDEW-Standard'!$B$3:$M$158,K$9,0),1)</f>
        <v>40</v>
      </c>
      <c r="L14" s="187">
        <f>ROUND(VLOOKUP($E14,'BDEW-Standard'!$B$3:$M$158,L$9,0),7)</f>
        <v>0</v>
      </c>
      <c r="M14" s="187">
        <f>ROUND(VLOOKUP($E14,'BDEW-Standard'!$B$3:$M$158,M$9,0),7)</f>
        <v>0</v>
      </c>
      <c r="N14" s="187">
        <f>ROUND(VLOOKUP($E14,'BDEW-Standard'!$B$3:$M$158,N$9,0),7)</f>
        <v>0</v>
      </c>
      <c r="O14" s="187">
        <f>ROUND(VLOOKUP($E14,'BDEW-Standard'!$B$3:$M$158,O$9,0),7)</f>
        <v>0</v>
      </c>
      <c r="P14" s="240">
        <f t="shared" si="0"/>
        <v>0.86486713303260787</v>
      </c>
      <c r="Q14" s="190">
        <f>ROUND(VLOOKUP(MID($E14,4,3),'Wochentag F(WT)'!$B$7:$J$22,Q$9,0),4)</f>
        <v>1.0358000000000001</v>
      </c>
      <c r="R14" s="190">
        <f>ROUND(VLOOKUP(MID($E14,4,3),'Wochentag F(WT)'!$B$7:$J$22,R$9,0),4)</f>
        <v>1.0232000000000001</v>
      </c>
      <c r="S14" s="190">
        <f>ROUND(VLOOKUP(MID($E14,4,3),'Wochentag F(WT)'!$B$7:$J$22,S$9,0),4)</f>
        <v>1.0251999999999999</v>
      </c>
      <c r="T14" s="190">
        <f>ROUND(VLOOKUP(MID($E14,4,3),'Wochentag F(WT)'!$B$7:$J$22,T$9,0),4)</f>
        <v>1.0295000000000001</v>
      </c>
      <c r="U14" s="190">
        <f>ROUND(VLOOKUP(MID($E14,4,3),'Wochentag F(WT)'!$B$7:$J$22,U$9,0),4)</f>
        <v>1.0253000000000001</v>
      </c>
      <c r="V14" s="190">
        <f>ROUND(VLOOKUP(MID($E14,4,3),'Wochentag F(WT)'!$B$7:$J$22,V$9,0),4)</f>
        <v>0.96750000000000003</v>
      </c>
      <c r="W14" s="191">
        <f t="shared" si="1"/>
        <v>0.89350000000000041</v>
      </c>
      <c r="X14" s="237"/>
    </row>
    <row r="15" spans="2:24" s="159" customFormat="1">
      <c r="B15" s="160">
        <v>4</v>
      </c>
      <c r="C15" s="161" t="str">
        <f t="shared" si="2"/>
        <v>EWS Netz</v>
      </c>
      <c r="D15" s="64" t="s">
        <v>255</v>
      </c>
      <c r="E15" s="184" t="s">
        <v>4</v>
      </c>
      <c r="F15" s="65" t="str">
        <f>VLOOKUP($E15,'BDEW-Standard'!$B$3:$M$158,F$9,0)</f>
        <v>HK3</v>
      </c>
      <c r="G15" s="187">
        <f>ROUND(VLOOKUP($E15,'BDEW-Standard'!$B$3:$M$158,G$9,0),7)</f>
        <v>0.40409319999999999</v>
      </c>
      <c r="H15" s="187">
        <f>ROUND(VLOOKUP($E15,'BDEW-Standard'!$B$3:$M$158,H$9,0),7)</f>
        <v>-24.439296800000001</v>
      </c>
      <c r="I15" s="187">
        <f>ROUND(VLOOKUP($E15,'BDEW-Standard'!$B$3:$M$158,I$9,0),7)</f>
        <v>6.5718174999999999</v>
      </c>
      <c r="J15" s="187">
        <f>ROUND(VLOOKUP($E15,'BDEW-Standard'!$B$3:$M$158,J$9,0),7)</f>
        <v>0.71077100000000004</v>
      </c>
      <c r="K15" s="67">
        <f>ROUND(VLOOKUP($E15,'BDEW-Standard'!$B$3:$M$158,K$9,0),1)</f>
        <v>40</v>
      </c>
      <c r="L15" s="187">
        <f>ROUND(VLOOKUP($E15,'BDEW-Standard'!$B$3:$M$158,L$9,0),7)</f>
        <v>0</v>
      </c>
      <c r="M15" s="187">
        <f>ROUND(VLOOKUP($E15,'BDEW-Standard'!$B$3:$M$158,M$9,0),7)</f>
        <v>0</v>
      </c>
      <c r="N15" s="187">
        <f>ROUND(VLOOKUP($E15,'BDEW-Standard'!$B$3:$M$158,N$9,0),7)</f>
        <v>0</v>
      </c>
      <c r="O15" s="187">
        <f>ROUND(VLOOKUP($E15,'BDEW-Standard'!$B$3:$M$158,O$9,0),7)</f>
        <v>0</v>
      </c>
      <c r="P15" s="240">
        <f t="shared" si="0"/>
        <v>1.0561214000512988</v>
      </c>
      <c r="Q15" s="190">
        <f>ROUND(VLOOKUP(MID($E15,4,3),'Wochentag F(WT)'!$B$7:$J$22,Q$9,0),4)</f>
        <v>1</v>
      </c>
      <c r="R15" s="190">
        <f>ROUND(VLOOKUP(MID($E15,4,3),'Wochentag F(WT)'!$B$7:$J$22,R$9,0),4)</f>
        <v>1</v>
      </c>
      <c r="S15" s="190">
        <f>ROUND(VLOOKUP(MID($E15,4,3),'Wochentag F(WT)'!$B$7:$J$22,S$9,0),4)</f>
        <v>1</v>
      </c>
      <c r="T15" s="190">
        <f>ROUND(VLOOKUP(MID($E15,4,3),'Wochentag F(WT)'!$B$7:$J$22,T$9,0),4)</f>
        <v>1</v>
      </c>
      <c r="U15" s="190">
        <f>ROUND(VLOOKUP(MID($E15,4,3),'Wochentag F(WT)'!$B$7:$J$22,U$9,0),4)</f>
        <v>1</v>
      </c>
      <c r="V15" s="190">
        <f>ROUND(VLOOKUP(MID($E15,4,3),'Wochentag F(WT)'!$B$7:$J$22,V$9,0),4)</f>
        <v>1</v>
      </c>
      <c r="W15" s="191">
        <f t="shared" si="1"/>
        <v>1</v>
      </c>
      <c r="X15" s="237"/>
    </row>
    <row r="16" spans="2:24" s="159" customFormat="1">
      <c r="B16" s="160">
        <v>5</v>
      </c>
      <c r="C16" s="161" t="str">
        <f t="shared" si="2"/>
        <v>EWS Netz</v>
      </c>
      <c r="D16" s="64" t="s">
        <v>255</v>
      </c>
      <c r="E16" s="184" t="s">
        <v>613</v>
      </c>
      <c r="F16" s="65" t="str">
        <f>VLOOKUP($E16,'BDEW-Standard'!$B$3:$M$158,F$9,0)</f>
        <v>MK4</v>
      </c>
      <c r="G16" s="187">
        <f>ROUND(VLOOKUP($E16,'BDEW-Standard'!$B$3:$M$158,G$9,0),7)</f>
        <v>3.1177248</v>
      </c>
      <c r="H16" s="187">
        <f>ROUND(VLOOKUP($E16,'BDEW-Standard'!$B$3:$M$158,H$9,0),7)</f>
        <v>-35.871506199999999</v>
      </c>
      <c r="I16" s="187">
        <f>ROUND(VLOOKUP($E16,'BDEW-Standard'!$B$3:$M$158,I$9,0),7)</f>
        <v>7.5186828999999999</v>
      </c>
      <c r="J16" s="187">
        <f>ROUND(VLOOKUP($E16,'BDEW-Standard'!$B$3:$M$158,J$9,0),7)</f>
        <v>3.4330100000000002E-2</v>
      </c>
      <c r="K16" s="67">
        <f>ROUND(VLOOKUP($E16,'BDEW-Standard'!$B$3:$M$158,K$9,0),1)</f>
        <v>40</v>
      </c>
      <c r="L16" s="187">
        <f>ROUND(VLOOKUP($E16,'BDEW-Standard'!$B$3:$M$158,L$9,0),7)</f>
        <v>0</v>
      </c>
      <c r="M16" s="187">
        <f>ROUND(VLOOKUP($E16,'BDEW-Standard'!$B$3:$M$158,M$9,0),7)</f>
        <v>0</v>
      </c>
      <c r="N16" s="187">
        <f>ROUND(VLOOKUP($E16,'BDEW-Standard'!$B$3:$M$158,N$9,0),7)</f>
        <v>0</v>
      </c>
      <c r="O16" s="187">
        <f>ROUND(VLOOKUP($E16,'BDEW-Standard'!$B$3:$M$158,O$9,0),7)</f>
        <v>0</v>
      </c>
      <c r="P16" s="240">
        <f t="shared" si="0"/>
        <v>0.9622064996731321</v>
      </c>
      <c r="Q16" s="190">
        <f>ROUND(VLOOKUP(MID($E16,4,3),'Wochentag F(WT)'!$B$7:$J$22,Q$9,0),4)</f>
        <v>1.0699000000000001</v>
      </c>
      <c r="R16" s="190">
        <f>ROUND(VLOOKUP(MID($E16,4,3),'Wochentag F(WT)'!$B$7:$J$22,R$9,0),4)</f>
        <v>1.0365</v>
      </c>
      <c r="S16" s="190">
        <f>ROUND(VLOOKUP(MID($E16,4,3),'Wochentag F(WT)'!$B$7:$J$22,S$9,0),4)</f>
        <v>0.99329999999999996</v>
      </c>
      <c r="T16" s="190">
        <f>ROUND(VLOOKUP(MID($E16,4,3),'Wochentag F(WT)'!$B$7:$J$22,T$9,0),4)</f>
        <v>0.99480000000000002</v>
      </c>
      <c r="U16" s="190">
        <f>ROUND(VLOOKUP(MID($E16,4,3),'Wochentag F(WT)'!$B$7:$J$22,U$9,0),4)</f>
        <v>1.0659000000000001</v>
      </c>
      <c r="V16" s="190">
        <f>ROUND(VLOOKUP(MID($E16,4,3),'Wochentag F(WT)'!$B$7:$J$22,V$9,0),4)</f>
        <v>0.93620000000000003</v>
      </c>
      <c r="W16" s="191">
        <f t="shared" si="1"/>
        <v>0.90339999999999954</v>
      </c>
      <c r="X16" s="237"/>
    </row>
    <row r="17" spans="2:24" s="159" customFormat="1">
      <c r="B17" s="160">
        <v>6</v>
      </c>
      <c r="C17" s="161" t="str">
        <f t="shared" si="2"/>
        <v>EWS Netz</v>
      </c>
      <c r="D17" s="64" t="s">
        <v>255</v>
      </c>
      <c r="E17" s="184" t="s">
        <v>622</v>
      </c>
      <c r="F17" s="65" t="str">
        <f>VLOOKUP($E17,'BDEW-Standard'!$B$3:$M$158,F$9,0)</f>
        <v>D25</v>
      </c>
      <c r="G17" s="187">
        <f>ROUND(VLOOKUP($E17,'BDEW-Standard'!$B$3:$M$158,G$9,0),7)</f>
        <v>2.6564405999999998</v>
      </c>
      <c r="H17" s="187">
        <f>ROUND(VLOOKUP($E17,'BDEW-Standard'!$B$3:$M$158,H$9,0),7)</f>
        <v>-35.2516927</v>
      </c>
      <c r="I17" s="187">
        <f>ROUND(VLOOKUP($E17,'BDEW-Standard'!$B$3:$M$158,I$9,0),7)</f>
        <v>6.5182659000000003</v>
      </c>
      <c r="J17" s="187">
        <f>ROUND(VLOOKUP($E17,'BDEW-Standard'!$B$3:$M$158,J$9,0),7)</f>
        <v>8.1205899999999998E-2</v>
      </c>
      <c r="K17" s="67">
        <f>ROUND(VLOOKUP($E17,'BDEW-Standard'!$B$3:$M$158,K$9,0),1)</f>
        <v>40</v>
      </c>
      <c r="L17" s="187">
        <f>ROUND(VLOOKUP($E17,'BDEW-Standard'!$B$3:$M$158,L$9,0),7)</f>
        <v>0</v>
      </c>
      <c r="M17" s="187">
        <f>ROUND(VLOOKUP($E17,'BDEW-Standard'!$B$3:$M$158,M$9,0),7)</f>
        <v>0</v>
      </c>
      <c r="N17" s="187">
        <f>ROUND(VLOOKUP($E17,'BDEW-Standard'!$B$3:$M$158,N$9,0),7)</f>
        <v>0</v>
      </c>
      <c r="O17" s="187">
        <f>ROUND(VLOOKUP($E17,'BDEW-Standard'!$B$3:$M$158,O$9,0),7)</f>
        <v>0</v>
      </c>
      <c r="P17" s="240">
        <f t="shared" ref="P17" si="5">(G17/(1+(H17/($P$9-K17))^I17)+J17)+MAX(L17*$P$9+M17,N17*$P$9+O17)</f>
        <v>1.0038516847509584</v>
      </c>
      <c r="Q17" s="190">
        <f>ROUND(VLOOKUP(MID($E17,4,3),'Wochentag F(WT)'!$B$7:$J$22,Q$9,0),4)</f>
        <v>1</v>
      </c>
      <c r="R17" s="190">
        <f>ROUND(VLOOKUP(MID($E17,4,3),'Wochentag F(WT)'!$B$7:$J$22,R$9,0),4)</f>
        <v>1</v>
      </c>
      <c r="S17" s="190">
        <f>ROUND(VLOOKUP(MID($E17,4,3),'Wochentag F(WT)'!$B$7:$J$22,S$9,0),4)</f>
        <v>1</v>
      </c>
      <c r="T17" s="190">
        <f>ROUND(VLOOKUP(MID($E17,4,3),'Wochentag F(WT)'!$B$7:$J$22,T$9,0),4)</f>
        <v>1</v>
      </c>
      <c r="U17" s="190">
        <f>ROUND(VLOOKUP(MID($E17,4,3),'Wochentag F(WT)'!$B$7:$J$22,U$9,0),4)</f>
        <v>1</v>
      </c>
      <c r="V17" s="190">
        <f>ROUND(VLOOKUP(MID($E17,4,3),'Wochentag F(WT)'!$B$7:$J$22,V$9,0),4)</f>
        <v>1</v>
      </c>
      <c r="W17" s="191">
        <f t="shared" ref="W17" si="6">7-SUM(Q17:V17)</f>
        <v>1</v>
      </c>
      <c r="X17" s="237"/>
    </row>
    <row r="18" spans="2:24" s="159" customFormat="1">
      <c r="B18" s="160">
        <v>7</v>
      </c>
      <c r="C18" s="161" t="str">
        <f t="shared" si="2"/>
        <v>EWS Netz</v>
      </c>
      <c r="D18" s="64"/>
      <c r="E18" s="184"/>
      <c r="F18" s="65"/>
      <c r="G18" s="187"/>
      <c r="H18" s="187"/>
      <c r="I18" s="187"/>
      <c r="J18" s="187"/>
      <c r="K18" s="67"/>
      <c r="L18" s="187"/>
      <c r="M18" s="187"/>
      <c r="N18" s="187"/>
      <c r="O18" s="187"/>
      <c r="P18" s="240"/>
      <c r="Q18" s="190"/>
      <c r="R18" s="190"/>
      <c r="S18" s="190"/>
      <c r="T18" s="190"/>
      <c r="U18" s="190"/>
      <c r="V18" s="190"/>
      <c r="W18" s="191"/>
      <c r="X18" s="237"/>
    </row>
    <row r="19" spans="2:24" s="159" customFormat="1">
      <c r="B19" s="160">
        <v>8</v>
      </c>
      <c r="C19" s="161" t="str">
        <f t="shared" si="2"/>
        <v>EWS Netz</v>
      </c>
      <c r="D19" s="64"/>
      <c r="E19" s="184"/>
      <c r="F19" s="65"/>
      <c r="G19" s="187"/>
      <c r="H19" s="187"/>
      <c r="I19" s="187"/>
      <c r="J19" s="187"/>
      <c r="K19" s="67"/>
      <c r="L19" s="187"/>
      <c r="M19" s="187"/>
      <c r="N19" s="187"/>
      <c r="O19" s="187"/>
      <c r="P19" s="240"/>
      <c r="Q19" s="190"/>
      <c r="R19" s="190"/>
      <c r="S19" s="190"/>
      <c r="T19" s="190"/>
      <c r="U19" s="190"/>
      <c r="V19" s="190"/>
      <c r="W19" s="191"/>
      <c r="X19" s="237"/>
    </row>
    <row r="20" spans="2:24" s="159" customFormat="1">
      <c r="B20" s="160">
        <v>9</v>
      </c>
      <c r="C20" s="161" t="str">
        <f t="shared" si="2"/>
        <v>EWS Netz</v>
      </c>
      <c r="D20" s="64"/>
      <c r="E20" s="184"/>
      <c r="F20" s="65"/>
      <c r="G20" s="187"/>
      <c r="H20" s="187"/>
      <c r="I20" s="187"/>
      <c r="J20" s="187"/>
      <c r="K20" s="67"/>
      <c r="L20" s="187"/>
      <c r="M20" s="187"/>
      <c r="N20" s="187"/>
      <c r="O20" s="187"/>
      <c r="P20" s="240"/>
      <c r="Q20" s="190"/>
      <c r="R20" s="190"/>
      <c r="S20" s="190"/>
      <c r="T20" s="190"/>
      <c r="U20" s="190"/>
      <c r="V20" s="190"/>
      <c r="W20" s="191"/>
      <c r="X20" s="237"/>
    </row>
    <row r="21" spans="2:24" s="159" customFormat="1">
      <c r="B21" s="160">
        <v>10</v>
      </c>
      <c r="C21" s="161" t="str">
        <f t="shared" si="2"/>
        <v>EWS Netz</v>
      </c>
      <c r="D21" s="64"/>
      <c r="E21" s="184"/>
      <c r="F21" s="65"/>
      <c r="G21" s="187"/>
      <c r="H21" s="187"/>
      <c r="I21" s="187"/>
      <c r="J21" s="187"/>
      <c r="K21" s="67"/>
      <c r="L21" s="187"/>
      <c r="M21" s="187"/>
      <c r="N21" s="187"/>
      <c r="O21" s="187"/>
      <c r="P21" s="240"/>
      <c r="Q21" s="190"/>
      <c r="R21" s="190"/>
      <c r="S21" s="190"/>
      <c r="T21" s="190"/>
      <c r="U21" s="190"/>
      <c r="V21" s="190"/>
      <c r="W21" s="191"/>
      <c r="X21" s="237"/>
    </row>
    <row r="22" spans="2:24" s="159" customFormat="1">
      <c r="B22" s="160">
        <v>11</v>
      </c>
      <c r="C22" s="161" t="str">
        <f t="shared" si="2"/>
        <v>EWS Netz</v>
      </c>
      <c r="D22" s="64"/>
      <c r="E22" s="184"/>
      <c r="F22" s="65"/>
      <c r="G22" s="187"/>
      <c r="H22" s="187"/>
      <c r="I22" s="187"/>
      <c r="J22" s="187"/>
      <c r="K22" s="67"/>
      <c r="L22" s="187"/>
      <c r="M22" s="187"/>
      <c r="N22" s="187"/>
      <c r="O22" s="187"/>
      <c r="P22" s="240"/>
      <c r="Q22" s="190"/>
      <c r="R22" s="190"/>
      <c r="S22" s="190"/>
      <c r="T22" s="190"/>
      <c r="U22" s="190"/>
      <c r="V22" s="190"/>
      <c r="W22" s="191"/>
      <c r="X22" s="237"/>
    </row>
    <row r="23" spans="2:24" s="159" customFormat="1">
      <c r="B23" s="160">
        <v>12</v>
      </c>
      <c r="C23" s="161" t="str">
        <f t="shared" si="2"/>
        <v>EWS Netz</v>
      </c>
      <c r="D23" s="64"/>
      <c r="E23" s="184"/>
      <c r="F23" s="65"/>
      <c r="G23" s="187"/>
      <c r="H23" s="187"/>
      <c r="I23" s="187"/>
      <c r="J23" s="187"/>
      <c r="K23" s="67"/>
      <c r="L23" s="187"/>
      <c r="M23" s="187"/>
      <c r="N23" s="187"/>
      <c r="O23" s="187"/>
      <c r="P23" s="240"/>
      <c r="Q23" s="190"/>
      <c r="R23" s="190"/>
      <c r="S23" s="190"/>
      <c r="T23" s="190"/>
      <c r="U23" s="190"/>
      <c r="V23" s="190"/>
      <c r="W23" s="191"/>
      <c r="X23" s="237"/>
    </row>
    <row r="24" spans="2:24" s="159" customFormat="1">
      <c r="B24" s="160">
        <v>13</v>
      </c>
      <c r="C24" s="161" t="str">
        <f t="shared" si="2"/>
        <v>EWS Netz</v>
      </c>
      <c r="D24" s="64"/>
      <c r="E24" s="184"/>
      <c r="F24" s="65"/>
      <c r="G24" s="187"/>
      <c r="H24" s="187"/>
      <c r="I24" s="187"/>
      <c r="J24" s="187"/>
      <c r="K24" s="67"/>
      <c r="L24" s="187"/>
      <c r="M24" s="187"/>
      <c r="N24" s="187"/>
      <c r="O24" s="187"/>
      <c r="P24" s="240"/>
      <c r="Q24" s="190"/>
      <c r="R24" s="190"/>
      <c r="S24" s="190"/>
      <c r="T24" s="190"/>
      <c r="U24" s="190"/>
      <c r="V24" s="190"/>
      <c r="W24" s="191"/>
      <c r="X24" s="237"/>
    </row>
    <row r="25" spans="2:24" s="159" customFormat="1">
      <c r="B25" s="160">
        <v>14</v>
      </c>
      <c r="C25" s="161" t="str">
        <f t="shared" si="2"/>
        <v>EWS Netz</v>
      </c>
      <c r="D25" s="64"/>
      <c r="E25" s="184"/>
      <c r="F25" s="65"/>
      <c r="G25" s="187"/>
      <c r="H25" s="187"/>
      <c r="I25" s="187"/>
      <c r="J25" s="187"/>
      <c r="K25" s="67"/>
      <c r="L25" s="187"/>
      <c r="M25" s="187"/>
      <c r="N25" s="187"/>
      <c r="O25" s="187"/>
      <c r="P25" s="240"/>
      <c r="Q25" s="190"/>
      <c r="R25" s="190"/>
      <c r="S25" s="190"/>
      <c r="T25" s="190"/>
      <c r="U25" s="190"/>
      <c r="V25" s="190"/>
      <c r="W25" s="191"/>
      <c r="X25" s="237"/>
    </row>
    <row r="26" spans="2:24" s="159" customFormat="1">
      <c r="B26" s="160">
        <v>15</v>
      </c>
      <c r="C26" s="161" t="str">
        <f t="shared" si="2"/>
        <v>EWS Netz</v>
      </c>
      <c r="D26" s="64"/>
      <c r="E26" s="184"/>
      <c r="F26" s="65"/>
      <c r="G26" s="187"/>
      <c r="H26" s="187"/>
      <c r="I26" s="187"/>
      <c r="J26" s="187"/>
      <c r="K26" s="67"/>
      <c r="L26" s="187"/>
      <c r="M26" s="187"/>
      <c r="N26" s="187"/>
      <c r="O26" s="187"/>
      <c r="P26" s="240"/>
      <c r="Q26" s="190"/>
      <c r="R26" s="190"/>
      <c r="S26" s="190"/>
      <c r="T26" s="190"/>
      <c r="U26" s="190"/>
      <c r="V26" s="190"/>
      <c r="W26" s="191"/>
      <c r="X26" s="237"/>
    </row>
    <row r="27" spans="2:24" s="159" customFormat="1">
      <c r="B27" s="160">
        <v>16</v>
      </c>
      <c r="C27" s="161" t="str">
        <f t="shared" si="2"/>
        <v>EWS Netz</v>
      </c>
      <c r="D27" s="64"/>
      <c r="E27" s="185"/>
      <c r="F27" s="65"/>
      <c r="G27" s="66"/>
      <c r="H27" s="66"/>
      <c r="I27" s="66"/>
      <c r="J27" s="66"/>
      <c r="K27" s="67"/>
      <c r="L27" s="66"/>
      <c r="M27" s="66"/>
      <c r="N27" s="66"/>
      <c r="O27" s="66"/>
      <c r="P27" s="68"/>
      <c r="Q27" s="69"/>
      <c r="R27" s="69"/>
      <c r="S27" s="69"/>
      <c r="T27" s="69"/>
      <c r="U27" s="69"/>
      <c r="V27" s="69"/>
      <c r="W27" s="70"/>
    </row>
    <row r="28" spans="2:24" s="159" customFormat="1">
      <c r="B28" s="160">
        <v>17</v>
      </c>
      <c r="C28" s="161" t="str">
        <f t="shared" si="2"/>
        <v>EWS Netz</v>
      </c>
      <c r="D28" s="64"/>
      <c r="E28" s="185"/>
      <c r="F28" s="65"/>
      <c r="G28" s="66"/>
      <c r="H28" s="66"/>
      <c r="I28" s="66"/>
      <c r="J28" s="66"/>
      <c r="K28" s="67"/>
      <c r="L28" s="66"/>
      <c r="M28" s="66"/>
      <c r="N28" s="66"/>
      <c r="O28" s="66"/>
      <c r="P28" s="68"/>
      <c r="Q28" s="69"/>
      <c r="R28" s="69"/>
      <c r="S28" s="69"/>
      <c r="T28" s="69"/>
      <c r="U28" s="69"/>
      <c r="V28" s="69"/>
      <c r="W28" s="70"/>
    </row>
    <row r="29" spans="2:24" s="159" customFormat="1">
      <c r="B29" s="160">
        <v>18</v>
      </c>
      <c r="C29" s="161" t="str">
        <f t="shared" si="2"/>
        <v>EWS Netz</v>
      </c>
      <c r="D29" s="64"/>
      <c r="E29" s="185"/>
      <c r="F29" s="65"/>
      <c r="G29" s="66"/>
      <c r="H29" s="66"/>
      <c r="I29" s="66"/>
      <c r="J29" s="66"/>
      <c r="K29" s="67"/>
      <c r="L29" s="66"/>
      <c r="M29" s="66"/>
      <c r="N29" s="66"/>
      <c r="O29" s="66"/>
      <c r="P29" s="68"/>
      <c r="Q29" s="69"/>
      <c r="R29" s="69"/>
      <c r="S29" s="69"/>
      <c r="T29" s="69"/>
      <c r="U29" s="69"/>
      <c r="V29" s="69"/>
      <c r="W29" s="70"/>
    </row>
    <row r="30" spans="2:24" s="159" customFormat="1">
      <c r="B30" s="160">
        <v>19</v>
      </c>
      <c r="C30" s="161" t="str">
        <f t="shared" si="2"/>
        <v>EWS Netz</v>
      </c>
      <c r="D30" s="64"/>
      <c r="E30" s="185"/>
      <c r="F30" s="65"/>
      <c r="G30" s="66"/>
      <c r="H30" s="66"/>
      <c r="I30" s="66"/>
      <c r="J30" s="66"/>
      <c r="K30" s="67"/>
      <c r="L30" s="66"/>
      <c r="M30" s="66"/>
      <c r="N30" s="66"/>
      <c r="O30" s="66"/>
      <c r="P30" s="68"/>
      <c r="Q30" s="69"/>
      <c r="R30" s="69"/>
      <c r="S30" s="69"/>
      <c r="T30" s="69"/>
      <c r="U30" s="69"/>
      <c r="V30" s="69"/>
      <c r="W30" s="70"/>
    </row>
    <row r="31" spans="2:24" s="159" customFormat="1">
      <c r="B31" s="160">
        <v>20</v>
      </c>
      <c r="C31" s="161" t="str">
        <f t="shared" si="2"/>
        <v>EWS Netz</v>
      </c>
      <c r="D31" s="64"/>
      <c r="E31" s="185"/>
      <c r="F31" s="65"/>
      <c r="G31" s="66"/>
      <c r="H31" s="66"/>
      <c r="I31" s="66"/>
      <c r="J31" s="66"/>
      <c r="K31" s="67"/>
      <c r="L31" s="66"/>
      <c r="M31" s="66"/>
      <c r="N31" s="66"/>
      <c r="O31" s="66"/>
      <c r="P31" s="68"/>
      <c r="Q31" s="69"/>
      <c r="R31" s="69"/>
      <c r="S31" s="69"/>
      <c r="T31" s="69"/>
      <c r="U31" s="69"/>
      <c r="V31" s="69"/>
      <c r="W31" s="70"/>
    </row>
    <row r="32" spans="2:24" s="159" customFormat="1">
      <c r="B32" s="160">
        <v>21</v>
      </c>
      <c r="C32" s="161" t="str">
        <f t="shared" si="2"/>
        <v>EWS Netz</v>
      </c>
      <c r="D32" s="64"/>
      <c r="E32" s="185"/>
      <c r="F32" s="65"/>
      <c r="G32" s="66"/>
      <c r="H32" s="66"/>
      <c r="I32" s="66"/>
      <c r="J32" s="66"/>
      <c r="K32" s="67"/>
      <c r="L32" s="66"/>
      <c r="M32" s="66"/>
      <c r="N32" s="66"/>
      <c r="O32" s="66"/>
      <c r="P32" s="68"/>
      <c r="Q32" s="69"/>
      <c r="R32" s="69"/>
      <c r="S32" s="69"/>
      <c r="T32" s="69"/>
      <c r="U32" s="69"/>
      <c r="V32" s="69"/>
      <c r="W32" s="70"/>
    </row>
    <row r="33" spans="2:23" s="159" customFormat="1">
      <c r="B33" s="160">
        <v>22</v>
      </c>
      <c r="C33" s="161" t="str">
        <f t="shared" si="2"/>
        <v>EWS Netz</v>
      </c>
      <c r="D33" s="64"/>
      <c r="E33" s="185"/>
      <c r="F33" s="65"/>
      <c r="G33" s="66"/>
      <c r="H33" s="66"/>
      <c r="I33" s="66"/>
      <c r="J33" s="66"/>
      <c r="K33" s="67"/>
      <c r="L33" s="66"/>
      <c r="M33" s="66"/>
      <c r="N33" s="66"/>
      <c r="O33" s="66"/>
      <c r="P33" s="68"/>
      <c r="Q33" s="69"/>
      <c r="R33" s="69"/>
      <c r="S33" s="69"/>
      <c r="T33" s="69"/>
      <c r="U33" s="69"/>
      <c r="V33" s="69"/>
      <c r="W33" s="70"/>
    </row>
    <row r="34" spans="2:23" s="159" customFormat="1">
      <c r="B34" s="160">
        <v>23</v>
      </c>
      <c r="C34" s="161" t="str">
        <f t="shared" si="2"/>
        <v>EWS Netz</v>
      </c>
      <c r="D34" s="64"/>
      <c r="E34" s="185"/>
      <c r="F34" s="65"/>
      <c r="G34" s="66"/>
      <c r="H34" s="66"/>
      <c r="I34" s="66"/>
      <c r="J34" s="66"/>
      <c r="K34" s="67"/>
      <c r="L34" s="66"/>
      <c r="M34" s="66"/>
      <c r="N34" s="66"/>
      <c r="O34" s="66"/>
      <c r="P34" s="68"/>
      <c r="Q34" s="69"/>
      <c r="R34" s="69"/>
      <c r="S34" s="69"/>
      <c r="T34" s="69"/>
      <c r="U34" s="69"/>
      <c r="V34" s="69"/>
      <c r="W34" s="70"/>
    </row>
    <row r="35" spans="2:23" s="159" customFormat="1">
      <c r="B35" s="160">
        <v>24</v>
      </c>
      <c r="C35" s="161" t="str">
        <f t="shared" si="2"/>
        <v>EWS Netz</v>
      </c>
      <c r="D35" s="64"/>
      <c r="E35" s="185"/>
      <c r="F35" s="65"/>
      <c r="G35" s="66"/>
      <c r="H35" s="66"/>
      <c r="I35" s="66"/>
      <c r="J35" s="66"/>
      <c r="K35" s="67"/>
      <c r="L35" s="66"/>
      <c r="M35" s="66"/>
      <c r="N35" s="66"/>
      <c r="O35" s="66"/>
      <c r="P35" s="68"/>
      <c r="Q35" s="69"/>
      <c r="R35" s="69"/>
      <c r="S35" s="69"/>
      <c r="T35" s="69"/>
      <c r="U35" s="69"/>
      <c r="V35" s="69"/>
      <c r="W35" s="70"/>
    </row>
    <row r="36" spans="2:23" s="159" customFormat="1">
      <c r="B36" s="160">
        <v>25</v>
      </c>
      <c r="C36" s="161" t="str">
        <f t="shared" si="2"/>
        <v>EWS Netz</v>
      </c>
      <c r="D36" s="64"/>
      <c r="E36" s="185"/>
      <c r="F36" s="65"/>
      <c r="G36" s="66"/>
      <c r="H36" s="66"/>
      <c r="I36" s="66"/>
      <c r="J36" s="66"/>
      <c r="K36" s="67"/>
      <c r="L36" s="66"/>
      <c r="M36" s="66"/>
      <c r="N36" s="66"/>
      <c r="O36" s="66"/>
      <c r="P36" s="68"/>
      <c r="Q36" s="69"/>
      <c r="R36" s="69"/>
      <c r="S36" s="69"/>
      <c r="T36" s="69"/>
      <c r="U36" s="69"/>
      <c r="V36" s="69"/>
      <c r="W36" s="70"/>
    </row>
    <row r="37" spans="2:23" s="159" customFormat="1">
      <c r="B37" s="160">
        <v>26</v>
      </c>
      <c r="C37" s="161" t="str">
        <f t="shared" si="2"/>
        <v>EWS Netz</v>
      </c>
      <c r="D37" s="64"/>
      <c r="E37" s="185"/>
      <c r="F37" s="65"/>
      <c r="G37" s="66"/>
      <c r="H37" s="66"/>
      <c r="I37" s="66"/>
      <c r="J37" s="66"/>
      <c r="K37" s="67"/>
      <c r="L37" s="66"/>
      <c r="M37" s="66"/>
      <c r="N37" s="66"/>
      <c r="O37" s="66"/>
      <c r="P37" s="68"/>
      <c r="Q37" s="69"/>
      <c r="R37" s="69"/>
      <c r="S37" s="69"/>
      <c r="T37" s="69"/>
      <c r="U37" s="69"/>
      <c r="V37" s="69"/>
      <c r="W37" s="70"/>
    </row>
    <row r="38" spans="2:23" s="159" customFormat="1">
      <c r="B38" s="160">
        <v>27</v>
      </c>
      <c r="C38" s="161" t="str">
        <f t="shared" si="2"/>
        <v>EWS Netz</v>
      </c>
      <c r="D38" s="64"/>
      <c r="E38" s="185"/>
      <c r="F38" s="65"/>
      <c r="G38" s="66"/>
      <c r="H38" s="66"/>
      <c r="I38" s="66"/>
      <c r="J38" s="66"/>
      <c r="K38" s="67"/>
      <c r="L38" s="66"/>
      <c r="M38" s="66"/>
      <c r="N38" s="66"/>
      <c r="O38" s="66"/>
      <c r="P38" s="68"/>
      <c r="Q38" s="69"/>
      <c r="R38" s="69"/>
      <c r="S38" s="69"/>
      <c r="T38" s="69"/>
      <c r="U38" s="69"/>
      <c r="V38" s="69"/>
      <c r="W38" s="70"/>
    </row>
    <row r="39" spans="2:23" s="159" customFormat="1">
      <c r="B39" s="160">
        <v>28</v>
      </c>
      <c r="C39" s="161" t="str">
        <f t="shared" si="2"/>
        <v>EWS Netz</v>
      </c>
      <c r="D39" s="64"/>
      <c r="E39" s="185"/>
      <c r="F39" s="65"/>
      <c r="G39" s="66"/>
      <c r="H39" s="66"/>
      <c r="I39" s="66"/>
      <c r="J39" s="66"/>
      <c r="K39" s="67"/>
      <c r="L39" s="66"/>
      <c r="M39" s="66"/>
      <c r="N39" s="66"/>
      <c r="O39" s="66"/>
      <c r="P39" s="68"/>
      <c r="Q39" s="69"/>
      <c r="R39" s="69"/>
      <c r="S39" s="69"/>
      <c r="T39" s="69"/>
      <c r="U39" s="69"/>
      <c r="V39" s="69"/>
      <c r="W39" s="70"/>
    </row>
    <row r="40" spans="2:23" s="159" customFormat="1">
      <c r="B40" s="160">
        <v>29</v>
      </c>
      <c r="C40" s="161" t="str">
        <f t="shared" si="2"/>
        <v>EWS Netz</v>
      </c>
      <c r="D40" s="64"/>
      <c r="E40" s="185"/>
      <c r="F40" s="65"/>
      <c r="G40" s="66"/>
      <c r="H40" s="66"/>
      <c r="I40" s="66"/>
      <c r="J40" s="66"/>
      <c r="K40" s="67"/>
      <c r="L40" s="66"/>
      <c r="M40" s="66"/>
      <c r="N40" s="66"/>
      <c r="O40" s="66"/>
      <c r="P40" s="68"/>
      <c r="Q40" s="69"/>
      <c r="R40" s="69"/>
      <c r="S40" s="69"/>
      <c r="T40" s="69"/>
      <c r="U40" s="69"/>
      <c r="V40" s="69"/>
      <c r="W40" s="70"/>
    </row>
    <row r="41" spans="2:23" s="159" customFormat="1">
      <c r="B41" s="160">
        <v>30</v>
      </c>
      <c r="C41" s="161" t="str">
        <f t="shared" si="2"/>
        <v>EWS Netz</v>
      </c>
      <c r="D41" s="64"/>
      <c r="E41" s="185"/>
      <c r="F41" s="65"/>
      <c r="G41" s="66"/>
      <c r="H41" s="66"/>
      <c r="I41" s="66"/>
      <c r="J41" s="66"/>
      <c r="K41" s="67"/>
      <c r="L41" s="66"/>
      <c r="M41" s="66"/>
      <c r="N41" s="66"/>
      <c r="O41" s="66"/>
      <c r="P41" s="68"/>
      <c r="Q41" s="69"/>
      <c r="R41" s="69"/>
      <c r="S41" s="69"/>
      <c r="T41" s="69"/>
      <c r="U41" s="69"/>
      <c r="V41" s="69"/>
      <c r="W41" s="70"/>
    </row>
    <row r="42" spans="2:23"/>
    <row r="43" spans="2:23"/>
    <row r="44" spans="2:23"/>
    <row r="45" spans="2:23"/>
    <row r="46" spans="2:23"/>
    <row r="47" spans="2:23"/>
    <row r="48" spans="2:23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W12 F14:W16 F18:W41">
    <cfRule type="expression" dxfId="15" priority="14">
      <formula>ISERROR(F11)</formula>
    </cfRule>
  </conditionalFormatting>
  <conditionalFormatting sqref="E12:F12 E14:F16 E18:F41">
    <cfRule type="duplicateValues" dxfId="14" priority="8"/>
  </conditionalFormatting>
  <conditionalFormatting sqref="F13:W13">
    <cfRule type="expression" dxfId="13" priority="5">
      <formula>ISERROR(F13)</formula>
    </cfRule>
  </conditionalFormatting>
  <conditionalFormatting sqref="E13:F13">
    <cfRule type="duplicateValues" dxfId="12" priority="4"/>
  </conditionalFormatting>
  <conditionalFormatting sqref="F17:W17">
    <cfRule type="expression" dxfId="11" priority="2">
      <formula>ISERROR(F17)</formula>
    </cfRule>
  </conditionalFormatting>
  <conditionalFormatting sqref="E17:F17">
    <cfRule type="duplicateValues" dxfId="10" priority="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D11:D12 D14:D16 D18:D41</xm:sqref>
        </x14:conditionalFormatting>
        <x14:conditionalFormatting xmlns:xm="http://schemas.microsoft.com/office/excel/2006/main">
          <x14:cfRule type="cellIs" priority="7" operator="notEqual" id="{72F41D43-5B85-4116-B1C1-A17F7A693593}">
            <xm:f>'SLP-Verfahren'!$D$26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6" id="{0C2203E6-6157-4BEC-9D80-73C96D9C01C0}">
            <xm:f>D13&lt;&gt;IF(ISERROR(VLOOKUP($E13,'BDEW-Standard'!$B$3:$M$158,1,0)),"Ind.-Koef.","BDEW")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3" id="{F3F77EC3-999F-40C7-B31C-7B4B30E180B2}">
            <xm:f>D17&lt;&gt;IF(ISERROR(VLOOKUP($E17,'BDEW-Standard'!$B$3:$M$158,1,0)),"Ind.-Koef.","BDEW")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5" tint="-0.249977111117893"/>
    <pageSetUpPr fitToPage="1"/>
  </sheetPr>
  <dimension ref="A1:AE35"/>
  <sheetViews>
    <sheetView showGridLines="0" zoomScale="80" zoomScaleNormal="80" workbookViewId="0">
      <selection activeCell="AB17" sqref="AB17"/>
    </sheetView>
  </sheetViews>
  <sheetFormatPr baseColWidth="10" defaultColWidth="0" defaultRowHeight="12.75" zeroHeight="1"/>
  <cols>
    <col min="1" max="1" width="2.85546875" style="83" customWidth="1"/>
    <col min="2" max="2" width="15.140625" style="83" customWidth="1"/>
    <col min="3" max="3" width="12.85546875" style="83" customWidth="1"/>
    <col min="4" max="4" width="5.140625" style="83" hidden="1" customWidth="1"/>
    <col min="5" max="5" width="5.140625" style="83" customWidth="1"/>
    <col min="6" max="12" width="12.7109375" style="83" customWidth="1"/>
    <col min="13" max="30" width="5.7109375" style="83" customWidth="1"/>
    <col min="31" max="31" width="11.42578125" style="83" customWidth="1"/>
    <col min="32" max="16384" width="11.42578125" style="83" hidden="1"/>
  </cols>
  <sheetData>
    <row r="1" spans="2:30" ht="75" customHeight="1"/>
    <row r="2" spans="2:30" ht="23.25">
      <c r="B2" s="95" t="s">
        <v>457</v>
      </c>
    </row>
    <row r="3" spans="2:30" ht="15" customHeight="1">
      <c r="B3" s="95"/>
    </row>
    <row r="4" spans="2:30" ht="15" customHeight="1">
      <c r="B4" s="96" t="s">
        <v>456</v>
      </c>
      <c r="C4" s="71" t="str">
        <f>Netzbetreiber!$D$9</f>
        <v>ews-Netz GmbH</v>
      </c>
      <c r="D4" s="84"/>
      <c r="G4" s="84"/>
      <c r="I4" s="84"/>
      <c r="J4" s="85"/>
      <c r="M4" s="97" t="s">
        <v>564</v>
      </c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</row>
    <row r="5" spans="2:30" ht="15">
      <c r="B5" s="98" t="s">
        <v>455</v>
      </c>
      <c r="C5" s="72" t="str">
        <f>Netzbetreiber!D28</f>
        <v>EWS Netz</v>
      </c>
      <c r="D5" s="38"/>
      <c r="E5" s="84"/>
      <c r="F5" s="84"/>
      <c r="G5" s="84"/>
      <c r="I5" s="84"/>
      <c r="J5" s="84"/>
      <c r="K5" s="84"/>
      <c r="L5" s="84"/>
      <c r="M5" s="99" t="s">
        <v>529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ht="15">
      <c r="B6" s="96" t="s">
        <v>453</v>
      </c>
      <c r="C6" s="71" t="str">
        <f>Netzbetreiber!$D$11</f>
        <v>9870105600000</v>
      </c>
      <c r="D6" s="38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</row>
    <row r="7" spans="2:30" ht="15.75" thickBot="1">
      <c r="B7" s="96" t="s">
        <v>133</v>
      </c>
      <c r="C7" s="60">
        <f>Netzbetreiber!$D$6</f>
        <v>42278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</row>
    <row r="8" spans="2:30" ht="15.75" thickBot="1">
      <c r="B8" s="100"/>
      <c r="C8" s="84"/>
      <c r="D8" s="84"/>
      <c r="E8" s="84"/>
      <c r="F8" s="84"/>
      <c r="G8" s="84"/>
      <c r="H8" s="84"/>
      <c r="I8" s="84"/>
      <c r="J8" s="84"/>
      <c r="K8" s="84"/>
      <c r="L8" s="84"/>
      <c r="M8" s="321" t="s">
        <v>469</v>
      </c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3"/>
    </row>
    <row r="9" spans="2:30" ht="15.75" thickBot="1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101" t="s">
        <v>478</v>
      </c>
      <c r="N9" s="102" t="s">
        <v>380</v>
      </c>
      <c r="O9" s="103" t="s">
        <v>381</v>
      </c>
      <c r="P9" s="103" t="s">
        <v>382</v>
      </c>
      <c r="Q9" s="103" t="s">
        <v>383</v>
      </c>
      <c r="R9" s="103" t="s">
        <v>384</v>
      </c>
      <c r="S9" s="103" t="s">
        <v>385</v>
      </c>
      <c r="T9" s="103" t="s">
        <v>386</v>
      </c>
      <c r="U9" s="103" t="s">
        <v>387</v>
      </c>
      <c r="V9" s="103" t="s">
        <v>388</v>
      </c>
      <c r="W9" s="103" t="s">
        <v>389</v>
      </c>
      <c r="X9" s="103" t="s">
        <v>390</v>
      </c>
      <c r="Y9" s="103" t="s">
        <v>391</v>
      </c>
      <c r="Z9" s="103" t="s">
        <v>392</v>
      </c>
      <c r="AA9" s="103" t="s">
        <v>393</v>
      </c>
      <c r="AB9" s="103" t="s">
        <v>394</v>
      </c>
      <c r="AC9" s="104" t="s">
        <v>395</v>
      </c>
      <c r="AD9" s="104" t="s">
        <v>438</v>
      </c>
    </row>
    <row r="10" spans="2:30" ht="72" customHeight="1" thickBot="1">
      <c r="B10" s="326" t="s">
        <v>609</v>
      </c>
      <c r="C10" s="327"/>
      <c r="D10" s="105">
        <v>2</v>
      </c>
      <c r="E10" s="106" t="str">
        <f>IF(ISERROR(HLOOKUP(E$11,$M$9:$AD$33,$D10,0)),"",HLOOKUP(E$11,$M$9:$AD$33,$D10,0))</f>
        <v/>
      </c>
      <c r="F10" s="324" t="s">
        <v>406</v>
      </c>
      <c r="G10" s="324"/>
      <c r="H10" s="324"/>
      <c r="I10" s="324"/>
      <c r="J10" s="324"/>
      <c r="K10" s="324"/>
      <c r="L10" s="325"/>
      <c r="M10" s="107" t="s">
        <v>479</v>
      </c>
      <c r="N10" s="108" t="s">
        <v>480</v>
      </c>
      <c r="O10" s="109" t="s">
        <v>481</v>
      </c>
      <c r="P10" s="110" t="s">
        <v>482</v>
      </c>
      <c r="Q10" s="110" t="s">
        <v>483</v>
      </c>
      <c r="R10" s="110" t="s">
        <v>484</v>
      </c>
      <c r="S10" s="110" t="s">
        <v>485</v>
      </c>
      <c r="T10" s="110" t="s">
        <v>486</v>
      </c>
      <c r="U10" s="110" t="s">
        <v>487</v>
      </c>
      <c r="V10" s="110" t="s">
        <v>488</v>
      </c>
      <c r="W10" s="110" t="s">
        <v>489</v>
      </c>
      <c r="X10" s="110" t="s">
        <v>490</v>
      </c>
      <c r="Y10" s="110" t="s">
        <v>491</v>
      </c>
      <c r="Z10" s="110" t="s">
        <v>492</v>
      </c>
      <c r="AA10" s="110" t="s">
        <v>493</v>
      </c>
      <c r="AB10" s="110" t="s">
        <v>494</v>
      </c>
      <c r="AC10" s="111" t="s">
        <v>495</v>
      </c>
      <c r="AD10" s="112" t="s">
        <v>439</v>
      </c>
    </row>
    <row r="11" spans="2:30" ht="15.75" thickBot="1">
      <c r="B11" s="113" t="s">
        <v>430</v>
      </c>
      <c r="C11" s="114"/>
      <c r="D11" s="115">
        <v>3</v>
      </c>
      <c r="E11" s="116"/>
      <c r="F11" s="117" t="s">
        <v>397</v>
      </c>
      <c r="G11" s="118" t="s">
        <v>398</v>
      </c>
      <c r="H11" s="118" t="s">
        <v>399</v>
      </c>
      <c r="I11" s="118" t="s">
        <v>400</v>
      </c>
      <c r="J11" s="118" t="s">
        <v>401</v>
      </c>
      <c r="K11" s="118" t="s">
        <v>402</v>
      </c>
      <c r="L11" s="119" t="s">
        <v>403</v>
      </c>
      <c r="M11" s="79">
        <v>1</v>
      </c>
      <c r="N11" s="80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1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2">
        <v>0</v>
      </c>
      <c r="AD11" s="79">
        <v>0</v>
      </c>
    </row>
    <row r="12" spans="2:30" ht="15">
      <c r="B12" s="120" t="s">
        <v>407</v>
      </c>
      <c r="C12" s="121"/>
      <c r="D12" s="122">
        <v>4</v>
      </c>
      <c r="E12" s="123">
        <f>MIN(SUMPRODUCT($M$11:$AD$11,M12:AD12),1)</f>
        <v>1</v>
      </c>
      <c r="F12" s="86" t="s">
        <v>403</v>
      </c>
      <c r="G12" s="87" t="s">
        <v>403</v>
      </c>
      <c r="H12" s="87" t="s">
        <v>403</v>
      </c>
      <c r="I12" s="87" t="s">
        <v>403</v>
      </c>
      <c r="J12" s="87" t="s">
        <v>403</v>
      </c>
      <c r="K12" s="87" t="s">
        <v>403</v>
      </c>
      <c r="L12" s="88" t="s">
        <v>403</v>
      </c>
      <c r="M12" s="124">
        <v>1</v>
      </c>
      <c r="N12" s="125">
        <v>1</v>
      </c>
      <c r="O12" s="126">
        <v>1</v>
      </c>
      <c r="P12" s="126">
        <v>1</v>
      </c>
      <c r="Q12" s="126">
        <v>1</v>
      </c>
      <c r="R12" s="126">
        <v>1</v>
      </c>
      <c r="S12" s="126">
        <v>1</v>
      </c>
      <c r="T12" s="126">
        <v>1</v>
      </c>
      <c r="U12" s="126">
        <v>1</v>
      </c>
      <c r="V12" s="126">
        <v>1</v>
      </c>
      <c r="W12" s="126">
        <v>1</v>
      </c>
      <c r="X12" s="126">
        <v>1</v>
      </c>
      <c r="Y12" s="126">
        <v>1</v>
      </c>
      <c r="Z12" s="126">
        <v>1</v>
      </c>
      <c r="AA12" s="126">
        <v>1</v>
      </c>
      <c r="AB12" s="126">
        <v>1</v>
      </c>
      <c r="AC12" s="127">
        <v>1</v>
      </c>
      <c r="AD12" s="76">
        <v>1</v>
      </c>
    </row>
    <row r="13" spans="2:30" ht="15">
      <c r="B13" s="128" t="s">
        <v>408</v>
      </c>
      <c r="C13" s="129"/>
      <c r="D13" s="122">
        <v>5</v>
      </c>
      <c r="E13" s="130">
        <f t="shared" ref="E13:E33" si="0">MIN(SUMPRODUCT($M$11:$AD$11,M13:AD13),1)</f>
        <v>0</v>
      </c>
      <c r="F13" s="89" t="s">
        <v>403</v>
      </c>
      <c r="G13" s="90" t="s">
        <v>403</v>
      </c>
      <c r="H13" s="90" t="s">
        <v>403</v>
      </c>
      <c r="I13" s="90" t="s">
        <v>403</v>
      </c>
      <c r="J13" s="90" t="s">
        <v>403</v>
      </c>
      <c r="K13" s="90" t="s">
        <v>403</v>
      </c>
      <c r="L13" s="91" t="s">
        <v>403</v>
      </c>
      <c r="M13" s="124"/>
      <c r="N13" s="131"/>
      <c r="O13" s="132"/>
      <c r="P13" s="132"/>
      <c r="Q13" s="132"/>
      <c r="R13" s="132"/>
      <c r="S13" s="132"/>
      <c r="T13" s="132"/>
      <c r="U13" s="132">
        <v>1</v>
      </c>
      <c r="V13" s="132"/>
      <c r="W13" s="132"/>
      <c r="X13" s="132"/>
      <c r="Y13" s="132"/>
      <c r="Z13" s="132">
        <v>1</v>
      </c>
      <c r="AA13" s="132"/>
      <c r="AB13" s="132">
        <v>1</v>
      </c>
      <c r="AC13" s="133"/>
      <c r="AD13" s="77"/>
    </row>
    <row r="14" spans="2:30" ht="15">
      <c r="B14" s="128" t="s">
        <v>409</v>
      </c>
      <c r="C14" s="129"/>
      <c r="D14" s="122">
        <v>6</v>
      </c>
      <c r="E14" s="130">
        <f t="shared" si="0"/>
        <v>0</v>
      </c>
      <c r="F14" s="89" t="s">
        <v>403</v>
      </c>
      <c r="G14" s="90" t="s">
        <v>410</v>
      </c>
      <c r="H14" s="90" t="s">
        <v>410</v>
      </c>
      <c r="I14" s="90" t="s">
        <v>410</v>
      </c>
      <c r="J14" s="90" t="s">
        <v>410</v>
      </c>
      <c r="K14" s="90" t="s">
        <v>410</v>
      </c>
      <c r="L14" s="91" t="s">
        <v>410</v>
      </c>
      <c r="M14" s="124"/>
      <c r="N14" s="131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3"/>
      <c r="AD14" s="77"/>
    </row>
    <row r="15" spans="2:30" ht="15">
      <c r="B15" s="128" t="s">
        <v>411</v>
      </c>
      <c r="C15" s="129"/>
      <c r="D15" s="122">
        <v>7</v>
      </c>
      <c r="E15" s="130">
        <f t="shared" si="0"/>
        <v>0</v>
      </c>
      <c r="F15" s="89" t="s">
        <v>410</v>
      </c>
      <c r="G15" s="90" t="s">
        <v>402</v>
      </c>
      <c r="H15" s="90" t="s">
        <v>410</v>
      </c>
      <c r="I15" s="90" t="s">
        <v>410</v>
      </c>
      <c r="J15" s="90" t="s">
        <v>410</v>
      </c>
      <c r="K15" s="90" t="s">
        <v>410</v>
      </c>
      <c r="L15" s="91" t="s">
        <v>410</v>
      </c>
      <c r="M15" s="124"/>
      <c r="N15" s="131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3"/>
      <c r="AD15" s="77"/>
    </row>
    <row r="16" spans="2:30" ht="15">
      <c r="B16" s="134" t="s">
        <v>423</v>
      </c>
      <c r="C16" s="129"/>
      <c r="D16" s="122">
        <v>8</v>
      </c>
      <c r="E16" s="130">
        <f t="shared" si="0"/>
        <v>1</v>
      </c>
      <c r="F16" s="89" t="s">
        <v>410</v>
      </c>
      <c r="G16" s="90" t="s">
        <v>410</v>
      </c>
      <c r="H16" s="90" t="s">
        <v>410</v>
      </c>
      <c r="I16" s="90" t="s">
        <v>410</v>
      </c>
      <c r="J16" s="90" t="s">
        <v>403</v>
      </c>
      <c r="K16" s="90" t="s">
        <v>410</v>
      </c>
      <c r="L16" s="91" t="s">
        <v>410</v>
      </c>
      <c r="M16" s="124">
        <v>1</v>
      </c>
      <c r="N16" s="131">
        <v>1</v>
      </c>
      <c r="O16" s="132">
        <v>1</v>
      </c>
      <c r="P16" s="132">
        <v>1</v>
      </c>
      <c r="Q16" s="132">
        <v>1</v>
      </c>
      <c r="R16" s="132">
        <v>1</v>
      </c>
      <c r="S16" s="132">
        <v>1</v>
      </c>
      <c r="T16" s="132">
        <v>1</v>
      </c>
      <c r="U16" s="132">
        <v>1</v>
      </c>
      <c r="V16" s="132">
        <v>1</v>
      </c>
      <c r="W16" s="132">
        <v>1</v>
      </c>
      <c r="X16" s="132">
        <v>1</v>
      </c>
      <c r="Y16" s="132">
        <v>1</v>
      </c>
      <c r="Z16" s="132">
        <v>1</v>
      </c>
      <c r="AA16" s="132">
        <v>1</v>
      </c>
      <c r="AB16" s="132">
        <v>1</v>
      </c>
      <c r="AC16" s="133">
        <v>1</v>
      </c>
      <c r="AD16" s="77">
        <v>1</v>
      </c>
    </row>
    <row r="17" spans="2:30" ht="15">
      <c r="B17" s="134" t="s">
        <v>424</v>
      </c>
      <c r="C17" s="129"/>
      <c r="D17" s="122">
        <v>9</v>
      </c>
      <c r="E17" s="130">
        <f t="shared" si="0"/>
        <v>1</v>
      </c>
      <c r="F17" s="89" t="s">
        <v>410</v>
      </c>
      <c r="G17" s="90" t="s">
        <v>410</v>
      </c>
      <c r="H17" s="90" t="s">
        <v>410</v>
      </c>
      <c r="I17" s="90" t="s">
        <v>410</v>
      </c>
      <c r="J17" s="90" t="s">
        <v>410</v>
      </c>
      <c r="K17" s="90" t="s">
        <v>410</v>
      </c>
      <c r="L17" s="91" t="s">
        <v>403</v>
      </c>
      <c r="M17" s="124">
        <v>1</v>
      </c>
      <c r="N17" s="131">
        <v>1</v>
      </c>
      <c r="O17" s="132">
        <v>1</v>
      </c>
      <c r="P17" s="132">
        <v>1</v>
      </c>
      <c r="Q17" s="132">
        <v>1</v>
      </c>
      <c r="R17" s="132">
        <v>1</v>
      </c>
      <c r="S17" s="132">
        <v>1</v>
      </c>
      <c r="T17" s="132">
        <v>1</v>
      </c>
      <c r="U17" s="132">
        <v>1</v>
      </c>
      <c r="V17" s="132">
        <v>1</v>
      </c>
      <c r="W17" s="132">
        <v>1</v>
      </c>
      <c r="X17" s="132">
        <v>1</v>
      </c>
      <c r="Y17" s="132">
        <v>1</v>
      </c>
      <c r="Z17" s="132">
        <v>1</v>
      </c>
      <c r="AA17" s="132">
        <v>1</v>
      </c>
      <c r="AB17" s="132">
        <v>1</v>
      </c>
      <c r="AC17" s="133">
        <v>1</v>
      </c>
      <c r="AD17" s="77">
        <v>1</v>
      </c>
    </row>
    <row r="18" spans="2:30" ht="15">
      <c r="B18" s="134" t="s">
        <v>425</v>
      </c>
      <c r="C18" s="129"/>
      <c r="D18" s="122">
        <v>10</v>
      </c>
      <c r="E18" s="130">
        <f t="shared" si="0"/>
        <v>1</v>
      </c>
      <c r="F18" s="89" t="s">
        <v>403</v>
      </c>
      <c r="G18" s="90" t="s">
        <v>410</v>
      </c>
      <c r="H18" s="90" t="s">
        <v>410</v>
      </c>
      <c r="I18" s="90" t="s">
        <v>410</v>
      </c>
      <c r="J18" s="90" t="s">
        <v>410</v>
      </c>
      <c r="K18" s="90" t="s">
        <v>410</v>
      </c>
      <c r="L18" s="91" t="s">
        <v>410</v>
      </c>
      <c r="M18" s="124">
        <v>1</v>
      </c>
      <c r="N18" s="131">
        <v>1</v>
      </c>
      <c r="O18" s="132">
        <v>1</v>
      </c>
      <c r="P18" s="132">
        <v>1</v>
      </c>
      <c r="Q18" s="132">
        <v>1</v>
      </c>
      <c r="R18" s="132">
        <v>1</v>
      </c>
      <c r="S18" s="132">
        <v>1</v>
      </c>
      <c r="T18" s="132">
        <v>1</v>
      </c>
      <c r="U18" s="132">
        <v>1</v>
      </c>
      <c r="V18" s="132">
        <v>1</v>
      </c>
      <c r="W18" s="132">
        <v>1</v>
      </c>
      <c r="X18" s="132">
        <v>1</v>
      </c>
      <c r="Y18" s="132">
        <v>1</v>
      </c>
      <c r="Z18" s="132">
        <v>1</v>
      </c>
      <c r="AA18" s="132">
        <v>1</v>
      </c>
      <c r="AB18" s="132">
        <v>1</v>
      </c>
      <c r="AC18" s="133">
        <v>1</v>
      </c>
      <c r="AD18" s="77">
        <v>1</v>
      </c>
    </row>
    <row r="19" spans="2:30" ht="15">
      <c r="B19" s="134" t="s">
        <v>412</v>
      </c>
      <c r="C19" s="129"/>
      <c r="D19" s="122">
        <v>11</v>
      </c>
      <c r="E19" s="130">
        <f t="shared" si="0"/>
        <v>1</v>
      </c>
      <c r="F19" s="89" t="s">
        <v>403</v>
      </c>
      <c r="G19" s="90" t="s">
        <v>403</v>
      </c>
      <c r="H19" s="90" t="s">
        <v>403</v>
      </c>
      <c r="I19" s="90" t="s">
        <v>403</v>
      </c>
      <c r="J19" s="90" t="s">
        <v>403</v>
      </c>
      <c r="K19" s="90" t="s">
        <v>403</v>
      </c>
      <c r="L19" s="91" t="s">
        <v>403</v>
      </c>
      <c r="M19" s="124">
        <v>1</v>
      </c>
      <c r="N19" s="131">
        <v>1</v>
      </c>
      <c r="O19" s="132">
        <v>1</v>
      </c>
      <c r="P19" s="132">
        <v>1</v>
      </c>
      <c r="Q19" s="132">
        <v>1</v>
      </c>
      <c r="R19" s="132">
        <v>1</v>
      </c>
      <c r="S19" s="132">
        <v>1</v>
      </c>
      <c r="T19" s="132">
        <v>1</v>
      </c>
      <c r="U19" s="132">
        <v>1</v>
      </c>
      <c r="V19" s="132">
        <v>1</v>
      </c>
      <c r="W19" s="132">
        <v>1</v>
      </c>
      <c r="X19" s="132">
        <v>1</v>
      </c>
      <c r="Y19" s="132">
        <v>1</v>
      </c>
      <c r="Z19" s="132">
        <v>1</v>
      </c>
      <c r="AA19" s="132">
        <v>1</v>
      </c>
      <c r="AB19" s="132">
        <v>1</v>
      </c>
      <c r="AC19" s="133">
        <v>1</v>
      </c>
      <c r="AD19" s="77">
        <v>1</v>
      </c>
    </row>
    <row r="20" spans="2:30" ht="15">
      <c r="B20" s="134" t="s">
        <v>426</v>
      </c>
      <c r="C20" s="129"/>
      <c r="D20" s="122">
        <v>12</v>
      </c>
      <c r="E20" s="130">
        <f t="shared" si="0"/>
        <v>1</v>
      </c>
      <c r="F20" s="89" t="s">
        <v>410</v>
      </c>
      <c r="G20" s="90" t="s">
        <v>410</v>
      </c>
      <c r="H20" s="90" t="s">
        <v>410</v>
      </c>
      <c r="I20" s="90" t="s">
        <v>403</v>
      </c>
      <c r="J20" s="90" t="s">
        <v>410</v>
      </c>
      <c r="K20" s="90" t="s">
        <v>410</v>
      </c>
      <c r="L20" s="91"/>
      <c r="M20" s="124">
        <v>1</v>
      </c>
      <c r="N20" s="131">
        <v>1</v>
      </c>
      <c r="O20" s="132">
        <v>1</v>
      </c>
      <c r="P20" s="132">
        <v>1</v>
      </c>
      <c r="Q20" s="132">
        <v>1</v>
      </c>
      <c r="R20" s="132">
        <v>1</v>
      </c>
      <c r="S20" s="132">
        <v>1</v>
      </c>
      <c r="T20" s="132">
        <v>1</v>
      </c>
      <c r="U20" s="132">
        <v>1</v>
      </c>
      <c r="V20" s="132">
        <v>1</v>
      </c>
      <c r="W20" s="132">
        <v>1</v>
      </c>
      <c r="X20" s="132">
        <v>1</v>
      </c>
      <c r="Y20" s="132">
        <v>1</v>
      </c>
      <c r="Z20" s="132">
        <v>1</v>
      </c>
      <c r="AA20" s="132">
        <v>1</v>
      </c>
      <c r="AB20" s="132">
        <v>1</v>
      </c>
      <c r="AC20" s="133">
        <v>1</v>
      </c>
      <c r="AD20" s="77">
        <v>1</v>
      </c>
    </row>
    <row r="21" spans="2:30" ht="15">
      <c r="B21" s="134" t="s">
        <v>427</v>
      </c>
      <c r="C21" s="129"/>
      <c r="D21" s="122">
        <v>13</v>
      </c>
      <c r="E21" s="130">
        <f t="shared" si="0"/>
        <v>1</v>
      </c>
      <c r="F21" s="89" t="s">
        <v>410</v>
      </c>
      <c r="G21" s="90" t="s">
        <v>410</v>
      </c>
      <c r="H21" s="90" t="s">
        <v>410</v>
      </c>
      <c r="I21" s="90" t="s">
        <v>410</v>
      </c>
      <c r="J21" s="90" t="s">
        <v>410</v>
      </c>
      <c r="K21" s="90" t="s">
        <v>410</v>
      </c>
      <c r="L21" s="91" t="s">
        <v>403</v>
      </c>
      <c r="M21" s="124">
        <v>1</v>
      </c>
      <c r="N21" s="131">
        <v>1</v>
      </c>
      <c r="O21" s="132">
        <v>1</v>
      </c>
      <c r="P21" s="132">
        <v>1</v>
      </c>
      <c r="Q21" s="132">
        <v>1</v>
      </c>
      <c r="R21" s="132">
        <v>1</v>
      </c>
      <c r="S21" s="132">
        <v>1</v>
      </c>
      <c r="T21" s="132">
        <v>1</v>
      </c>
      <c r="U21" s="132">
        <v>1</v>
      </c>
      <c r="V21" s="132">
        <v>1</v>
      </c>
      <c r="W21" s="132">
        <v>1</v>
      </c>
      <c r="X21" s="132">
        <v>1</v>
      </c>
      <c r="Y21" s="132">
        <v>1</v>
      </c>
      <c r="Z21" s="132">
        <v>1</v>
      </c>
      <c r="AA21" s="132">
        <v>1</v>
      </c>
      <c r="AB21" s="132">
        <v>1</v>
      </c>
      <c r="AC21" s="133">
        <v>1</v>
      </c>
      <c r="AD21" s="77">
        <v>1</v>
      </c>
    </row>
    <row r="22" spans="2:30" ht="15">
      <c r="B22" s="134" t="s">
        <v>428</v>
      </c>
      <c r="C22" s="129"/>
      <c r="D22" s="122">
        <v>14</v>
      </c>
      <c r="E22" s="130">
        <f t="shared" si="0"/>
        <v>1</v>
      </c>
      <c r="F22" s="89" t="s">
        <v>403</v>
      </c>
      <c r="G22" s="90" t="s">
        <v>410</v>
      </c>
      <c r="H22" s="90" t="s">
        <v>410</v>
      </c>
      <c r="I22" s="90" t="s">
        <v>410</v>
      </c>
      <c r="J22" s="90" t="s">
        <v>410</v>
      </c>
      <c r="K22" s="90" t="s">
        <v>410</v>
      </c>
      <c r="L22" s="91" t="s">
        <v>410</v>
      </c>
      <c r="M22" s="124">
        <v>1</v>
      </c>
      <c r="N22" s="131">
        <v>1</v>
      </c>
      <c r="O22" s="132">
        <v>1</v>
      </c>
      <c r="P22" s="132">
        <v>1</v>
      </c>
      <c r="Q22" s="132">
        <v>1</v>
      </c>
      <c r="R22" s="132">
        <v>1</v>
      </c>
      <c r="S22" s="132">
        <v>1</v>
      </c>
      <c r="T22" s="132">
        <v>1</v>
      </c>
      <c r="U22" s="132">
        <v>1</v>
      </c>
      <c r="V22" s="132">
        <v>1</v>
      </c>
      <c r="W22" s="132">
        <v>1</v>
      </c>
      <c r="X22" s="132">
        <v>1</v>
      </c>
      <c r="Y22" s="132">
        <v>1</v>
      </c>
      <c r="Z22" s="132">
        <v>1</v>
      </c>
      <c r="AA22" s="132">
        <v>1</v>
      </c>
      <c r="AB22" s="132">
        <v>1</v>
      </c>
      <c r="AC22" s="133">
        <v>1</v>
      </c>
      <c r="AD22" s="77">
        <v>1</v>
      </c>
    </row>
    <row r="23" spans="2:30" ht="15">
      <c r="B23" s="128" t="s">
        <v>429</v>
      </c>
      <c r="C23" s="129"/>
      <c r="D23" s="122">
        <v>15</v>
      </c>
      <c r="E23" s="130">
        <f t="shared" si="0"/>
        <v>0</v>
      </c>
      <c r="F23" s="89" t="s">
        <v>410</v>
      </c>
      <c r="G23" s="90" t="s">
        <v>410</v>
      </c>
      <c r="H23" s="90" t="s">
        <v>410</v>
      </c>
      <c r="I23" s="90" t="s">
        <v>403</v>
      </c>
      <c r="J23" s="90" t="s">
        <v>410</v>
      </c>
      <c r="K23" s="90" t="s">
        <v>410</v>
      </c>
      <c r="L23" s="91" t="s">
        <v>410</v>
      </c>
      <c r="M23" s="124"/>
      <c r="N23" s="131"/>
      <c r="O23" s="132"/>
      <c r="P23" s="132">
        <v>1</v>
      </c>
      <c r="Q23" s="132"/>
      <c r="R23" s="132">
        <v>1</v>
      </c>
      <c r="S23" s="132"/>
      <c r="T23" s="132">
        <v>1</v>
      </c>
      <c r="U23" s="132">
        <v>1</v>
      </c>
      <c r="V23" s="132">
        <v>1</v>
      </c>
      <c r="W23" s="132"/>
      <c r="X23" s="132"/>
      <c r="Y23" s="132"/>
      <c r="Z23" s="132">
        <v>1</v>
      </c>
      <c r="AA23" s="132"/>
      <c r="AB23" s="132"/>
      <c r="AC23" s="133"/>
      <c r="AD23" s="77"/>
    </row>
    <row r="24" spans="2:30" ht="15">
      <c r="B24" s="128" t="s">
        <v>413</v>
      </c>
      <c r="C24" s="129"/>
      <c r="D24" s="122">
        <v>16</v>
      </c>
      <c r="E24" s="130">
        <f t="shared" si="0"/>
        <v>0</v>
      </c>
      <c r="F24" s="89" t="s">
        <v>403</v>
      </c>
      <c r="G24" s="90" t="s">
        <v>403</v>
      </c>
      <c r="H24" s="90" t="s">
        <v>403</v>
      </c>
      <c r="I24" s="90" t="s">
        <v>403</v>
      </c>
      <c r="J24" s="90" t="s">
        <v>403</v>
      </c>
      <c r="K24" s="90" t="s">
        <v>403</v>
      </c>
      <c r="L24" s="91" t="s">
        <v>403</v>
      </c>
      <c r="M24" s="124"/>
      <c r="N24" s="131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3"/>
      <c r="AD24" s="77"/>
    </row>
    <row r="25" spans="2:30" ht="15">
      <c r="B25" s="128" t="s">
        <v>414</v>
      </c>
      <c r="C25" s="129"/>
      <c r="D25" s="122">
        <v>17</v>
      </c>
      <c r="E25" s="130">
        <f t="shared" si="0"/>
        <v>0</v>
      </c>
      <c r="F25" s="90" t="s">
        <v>403</v>
      </c>
      <c r="G25" s="90" t="s">
        <v>403</v>
      </c>
      <c r="H25" s="90" t="s">
        <v>403</v>
      </c>
      <c r="I25" s="90" t="s">
        <v>403</v>
      </c>
      <c r="J25" s="90" t="s">
        <v>403</v>
      </c>
      <c r="K25" s="90" t="s">
        <v>403</v>
      </c>
      <c r="L25" s="91" t="s">
        <v>403</v>
      </c>
      <c r="M25" s="124"/>
      <c r="N25" s="131"/>
      <c r="O25" s="132"/>
      <c r="P25" s="132">
        <v>1</v>
      </c>
      <c r="Q25" s="132"/>
      <c r="R25" s="132"/>
      <c r="S25" s="132"/>
      <c r="T25" s="132"/>
      <c r="U25" s="132"/>
      <c r="V25" s="132"/>
      <c r="W25" s="132"/>
      <c r="X25" s="132"/>
      <c r="Y25" s="132"/>
      <c r="Z25" s="132">
        <v>1</v>
      </c>
      <c r="AA25" s="132"/>
      <c r="AB25" s="132"/>
      <c r="AC25" s="133"/>
      <c r="AD25" s="77"/>
    </row>
    <row r="26" spans="2:30" ht="15">
      <c r="B26" s="134" t="s">
        <v>415</v>
      </c>
      <c r="C26" s="129"/>
      <c r="D26" s="122">
        <v>18</v>
      </c>
      <c r="E26" s="130">
        <f t="shared" si="0"/>
        <v>1</v>
      </c>
      <c r="F26" s="89" t="s">
        <v>403</v>
      </c>
      <c r="G26" s="90" t="s">
        <v>403</v>
      </c>
      <c r="H26" s="90" t="s">
        <v>403</v>
      </c>
      <c r="I26" s="90" t="s">
        <v>403</v>
      </c>
      <c r="J26" s="90" t="s">
        <v>403</v>
      </c>
      <c r="K26" s="90" t="s">
        <v>403</v>
      </c>
      <c r="L26" s="91" t="s">
        <v>403</v>
      </c>
      <c r="M26" s="124">
        <v>1</v>
      </c>
      <c r="N26" s="131">
        <v>1</v>
      </c>
      <c r="O26" s="132">
        <v>1</v>
      </c>
      <c r="P26" s="132">
        <v>1</v>
      </c>
      <c r="Q26" s="132">
        <v>1</v>
      </c>
      <c r="R26" s="132">
        <v>1</v>
      </c>
      <c r="S26" s="132">
        <v>1</v>
      </c>
      <c r="T26" s="132">
        <v>1</v>
      </c>
      <c r="U26" s="132">
        <v>1</v>
      </c>
      <c r="V26" s="132">
        <v>1</v>
      </c>
      <c r="W26" s="132">
        <v>1</v>
      </c>
      <c r="X26" s="132">
        <v>1</v>
      </c>
      <c r="Y26" s="132">
        <v>1</v>
      </c>
      <c r="Z26" s="132">
        <v>1</v>
      </c>
      <c r="AA26" s="132">
        <v>1</v>
      </c>
      <c r="AB26" s="132">
        <v>1</v>
      </c>
      <c r="AC26" s="133">
        <v>1</v>
      </c>
      <c r="AD26" s="77">
        <v>1</v>
      </c>
    </row>
    <row r="27" spans="2:30" ht="15">
      <c r="B27" s="128" t="s">
        <v>416</v>
      </c>
      <c r="C27" s="129"/>
      <c r="D27" s="122">
        <v>19</v>
      </c>
      <c r="E27" s="130">
        <f t="shared" si="0"/>
        <v>0</v>
      </c>
      <c r="F27" s="89" t="s">
        <v>403</v>
      </c>
      <c r="G27" s="90" t="s">
        <v>403</v>
      </c>
      <c r="H27" s="90" t="s">
        <v>403</v>
      </c>
      <c r="I27" s="90" t="s">
        <v>403</v>
      </c>
      <c r="J27" s="90" t="s">
        <v>403</v>
      </c>
      <c r="K27" s="90" t="s">
        <v>403</v>
      </c>
      <c r="L27" s="91" t="s">
        <v>403</v>
      </c>
      <c r="M27" s="124"/>
      <c r="N27" s="131"/>
      <c r="O27" s="132"/>
      <c r="P27" s="132"/>
      <c r="Q27" s="132"/>
      <c r="R27" s="132"/>
      <c r="S27" s="132"/>
      <c r="T27" s="132"/>
      <c r="U27" s="132"/>
      <c r="V27" s="132"/>
      <c r="W27" s="132"/>
      <c r="X27" s="132">
        <v>1</v>
      </c>
      <c r="Y27" s="132">
        <v>1</v>
      </c>
      <c r="Z27" s="132"/>
      <c r="AA27" s="132">
        <v>1</v>
      </c>
      <c r="AB27" s="132">
        <v>1</v>
      </c>
      <c r="AC27" s="133">
        <v>1</v>
      </c>
      <c r="AD27" s="77"/>
    </row>
    <row r="28" spans="2:30" ht="15">
      <c r="B28" s="128" t="s">
        <v>417</v>
      </c>
      <c r="C28" s="129"/>
      <c r="D28" s="122">
        <v>20</v>
      </c>
      <c r="E28" s="130">
        <f t="shared" si="0"/>
        <v>0</v>
      </c>
      <c r="F28" s="89" t="s">
        <v>403</v>
      </c>
      <c r="G28" s="90" t="s">
        <v>403</v>
      </c>
      <c r="H28" s="90" t="s">
        <v>403</v>
      </c>
      <c r="I28" s="90" t="s">
        <v>403</v>
      </c>
      <c r="J28" s="90" t="s">
        <v>403</v>
      </c>
      <c r="K28" s="90" t="s">
        <v>403</v>
      </c>
      <c r="L28" s="91" t="s">
        <v>403</v>
      </c>
      <c r="M28" s="124"/>
      <c r="N28" s="131"/>
      <c r="O28" s="132"/>
      <c r="P28" s="132">
        <v>1</v>
      </c>
      <c r="Q28" s="132"/>
      <c r="R28" s="132"/>
      <c r="S28" s="132"/>
      <c r="T28" s="132">
        <v>1</v>
      </c>
      <c r="U28" s="132">
        <v>1</v>
      </c>
      <c r="V28" s="132">
        <v>1</v>
      </c>
      <c r="W28" s="132"/>
      <c r="X28" s="132"/>
      <c r="Y28" s="132"/>
      <c r="Z28" s="132">
        <v>1</v>
      </c>
      <c r="AA28" s="132"/>
      <c r="AB28" s="132"/>
      <c r="AC28" s="133"/>
      <c r="AD28" s="77"/>
    </row>
    <row r="29" spans="2:30" ht="15">
      <c r="B29" s="128" t="s">
        <v>418</v>
      </c>
      <c r="C29" s="129"/>
      <c r="D29" s="122">
        <v>21</v>
      </c>
      <c r="E29" s="130">
        <f t="shared" si="0"/>
        <v>0</v>
      </c>
      <c r="F29" s="89" t="s">
        <v>410</v>
      </c>
      <c r="G29" s="90" t="s">
        <v>410</v>
      </c>
      <c r="H29" s="90" t="s">
        <v>403</v>
      </c>
      <c r="I29" s="90" t="s">
        <v>410</v>
      </c>
      <c r="J29" s="90" t="s">
        <v>410</v>
      </c>
      <c r="K29" s="90" t="s">
        <v>410</v>
      </c>
      <c r="L29" s="91" t="s">
        <v>410</v>
      </c>
      <c r="M29" s="124"/>
      <c r="N29" s="131"/>
      <c r="O29" s="132"/>
      <c r="P29" s="132"/>
      <c r="Q29" s="132"/>
      <c r="R29" s="132"/>
      <c r="S29" s="132"/>
      <c r="T29" s="132"/>
      <c r="U29" s="132"/>
      <c r="V29" s="132"/>
      <c r="W29" s="132"/>
      <c r="X29" s="132">
        <v>1</v>
      </c>
      <c r="Y29" s="132"/>
      <c r="Z29" s="132"/>
      <c r="AA29" s="132"/>
      <c r="AB29" s="132"/>
      <c r="AC29" s="133"/>
      <c r="AD29" s="77"/>
    </row>
    <row r="30" spans="2:30" ht="15">
      <c r="B30" s="128" t="s">
        <v>419</v>
      </c>
      <c r="C30" s="129"/>
      <c r="D30" s="122">
        <v>22</v>
      </c>
      <c r="E30" s="130">
        <f t="shared" si="0"/>
        <v>0</v>
      </c>
      <c r="F30" s="89" t="s">
        <v>402</v>
      </c>
      <c r="G30" s="90" t="s">
        <v>402</v>
      </c>
      <c r="H30" s="90" t="s">
        <v>402</v>
      </c>
      <c r="I30" s="90" t="s">
        <v>402</v>
      </c>
      <c r="J30" s="90" t="s">
        <v>402</v>
      </c>
      <c r="K30" s="90" t="s">
        <v>402</v>
      </c>
      <c r="L30" s="91" t="s">
        <v>403</v>
      </c>
      <c r="M30" s="124"/>
      <c r="N30" s="131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3"/>
      <c r="AD30" s="77"/>
    </row>
    <row r="31" spans="2:30" ht="15">
      <c r="B31" s="134" t="s">
        <v>420</v>
      </c>
      <c r="C31" s="129"/>
      <c r="D31" s="122">
        <v>23</v>
      </c>
      <c r="E31" s="130">
        <f t="shared" si="0"/>
        <v>1</v>
      </c>
      <c r="F31" s="89" t="s">
        <v>403</v>
      </c>
      <c r="G31" s="90" t="s">
        <v>403</v>
      </c>
      <c r="H31" s="90" t="s">
        <v>403</v>
      </c>
      <c r="I31" s="90" t="s">
        <v>403</v>
      </c>
      <c r="J31" s="90" t="s">
        <v>403</v>
      </c>
      <c r="K31" s="90" t="s">
        <v>403</v>
      </c>
      <c r="L31" s="91" t="s">
        <v>403</v>
      </c>
      <c r="M31" s="124">
        <v>1</v>
      </c>
      <c r="N31" s="131">
        <v>1</v>
      </c>
      <c r="O31" s="132">
        <v>1</v>
      </c>
      <c r="P31" s="132">
        <v>1</v>
      </c>
      <c r="Q31" s="132">
        <v>1</v>
      </c>
      <c r="R31" s="132">
        <v>1</v>
      </c>
      <c r="S31" s="132">
        <v>1</v>
      </c>
      <c r="T31" s="132">
        <v>1</v>
      </c>
      <c r="U31" s="132">
        <v>1</v>
      </c>
      <c r="V31" s="132">
        <v>1</v>
      </c>
      <c r="W31" s="132">
        <v>1</v>
      </c>
      <c r="X31" s="132">
        <v>1</v>
      </c>
      <c r="Y31" s="132">
        <v>1</v>
      </c>
      <c r="Z31" s="132">
        <v>1</v>
      </c>
      <c r="AA31" s="132">
        <v>1</v>
      </c>
      <c r="AB31" s="132">
        <v>1</v>
      </c>
      <c r="AC31" s="133">
        <v>1</v>
      </c>
      <c r="AD31" s="77">
        <v>1</v>
      </c>
    </row>
    <row r="32" spans="2:30" ht="15">
      <c r="B32" s="134" t="s">
        <v>421</v>
      </c>
      <c r="C32" s="129"/>
      <c r="D32" s="122">
        <v>24</v>
      </c>
      <c r="E32" s="130">
        <f t="shared" si="0"/>
        <v>1</v>
      </c>
      <c r="F32" s="89" t="s">
        <v>403</v>
      </c>
      <c r="G32" s="90" t="s">
        <v>403</v>
      </c>
      <c r="H32" s="90" t="s">
        <v>403</v>
      </c>
      <c r="I32" s="90" t="s">
        <v>403</v>
      </c>
      <c r="J32" s="90" t="s">
        <v>403</v>
      </c>
      <c r="K32" s="90" t="s">
        <v>403</v>
      </c>
      <c r="L32" s="91" t="s">
        <v>403</v>
      </c>
      <c r="M32" s="124">
        <v>1</v>
      </c>
      <c r="N32" s="131">
        <v>1</v>
      </c>
      <c r="O32" s="132">
        <v>1</v>
      </c>
      <c r="P32" s="132">
        <v>1</v>
      </c>
      <c r="Q32" s="132">
        <v>1</v>
      </c>
      <c r="R32" s="132">
        <v>1</v>
      </c>
      <c r="S32" s="132">
        <v>1</v>
      </c>
      <c r="T32" s="132">
        <v>1</v>
      </c>
      <c r="U32" s="132">
        <v>1</v>
      </c>
      <c r="V32" s="132">
        <v>1</v>
      </c>
      <c r="W32" s="132">
        <v>1</v>
      </c>
      <c r="X32" s="132">
        <v>1</v>
      </c>
      <c r="Y32" s="132">
        <v>1</v>
      </c>
      <c r="Z32" s="132">
        <v>1</v>
      </c>
      <c r="AA32" s="132">
        <v>1</v>
      </c>
      <c r="AB32" s="132">
        <v>1</v>
      </c>
      <c r="AC32" s="133">
        <v>1</v>
      </c>
      <c r="AD32" s="77">
        <v>1</v>
      </c>
    </row>
    <row r="33" spans="2:30" ht="15.75" thickBot="1">
      <c r="B33" s="135" t="s">
        <v>422</v>
      </c>
      <c r="C33" s="136"/>
      <c r="D33" s="137">
        <v>25</v>
      </c>
      <c r="E33" s="138">
        <f t="shared" si="0"/>
        <v>0</v>
      </c>
      <c r="F33" s="92" t="s">
        <v>402</v>
      </c>
      <c r="G33" s="93" t="s">
        <v>402</v>
      </c>
      <c r="H33" s="93" t="s">
        <v>402</v>
      </c>
      <c r="I33" s="93" t="s">
        <v>402</v>
      </c>
      <c r="J33" s="93" t="s">
        <v>402</v>
      </c>
      <c r="K33" s="93" t="s">
        <v>402</v>
      </c>
      <c r="L33" s="94" t="s">
        <v>403</v>
      </c>
      <c r="M33" s="124"/>
      <c r="N33" s="139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1"/>
      <c r="AD33" s="78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F12:L33">
      <formula1>$F$11:$L$11</formula1>
    </dataValidation>
    <dataValidation type="list" allowBlank="1" showInputMessage="1" showErrorMessage="1" sqref="AD12:AD33">
      <formula1>"1, 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14999847407452621"/>
  </sheetPr>
  <dimension ref="A1:N158"/>
  <sheetViews>
    <sheetView showGridLines="0" topLeftCell="A85" zoomScale="80" zoomScaleNormal="80" workbookViewId="0">
      <selection activeCell="D91" sqref="D91"/>
    </sheetView>
  </sheetViews>
  <sheetFormatPr baseColWidth="10" defaultRowHeight="15"/>
  <cols>
    <col min="1" max="3" width="11.42578125" style="144"/>
    <col min="4" max="4" width="19.85546875" style="144" customWidth="1"/>
    <col min="5" max="9" width="16" style="144" customWidth="1"/>
    <col min="10" max="10" width="15.140625" style="144" customWidth="1"/>
    <col min="11" max="12" width="16" style="144" customWidth="1"/>
    <col min="13" max="13" width="15.28515625" style="144" customWidth="1"/>
    <col min="14" max="16384" width="11.42578125" style="144"/>
  </cols>
  <sheetData>
    <row r="1" spans="1:14">
      <c r="A1" s="241" t="s">
        <v>355</v>
      </c>
      <c r="B1" s="242">
        <v>42040</v>
      </c>
      <c r="D1" s="147" t="s">
        <v>465</v>
      </c>
      <c r="F1" s="243" t="s">
        <v>570</v>
      </c>
      <c r="N1" s="244"/>
    </row>
    <row r="2" spans="1:14" ht="25.5">
      <c r="A2" s="245" t="s">
        <v>279</v>
      </c>
      <c r="B2" s="246" t="s">
        <v>146</v>
      </c>
      <c r="C2" s="247" t="s">
        <v>148</v>
      </c>
      <c r="D2" s="248" t="s">
        <v>149</v>
      </c>
      <c r="E2" s="249" t="s">
        <v>0</v>
      </c>
      <c r="F2" s="249" t="s">
        <v>1</v>
      </c>
      <c r="G2" s="249" t="s">
        <v>2</v>
      </c>
      <c r="H2" s="249" t="s">
        <v>3</v>
      </c>
      <c r="I2" s="250" t="s">
        <v>70</v>
      </c>
      <c r="J2" s="249" t="s">
        <v>150</v>
      </c>
      <c r="K2" s="249" t="s">
        <v>151</v>
      </c>
      <c r="L2" s="249" t="s">
        <v>152</v>
      </c>
      <c r="M2" s="251" t="s">
        <v>244</v>
      </c>
    </row>
    <row r="3" spans="1:14">
      <c r="A3" s="144" t="str">
        <f>IF(MID(D3,1,8)="SigLinDe","SLP-FfE","SLP-TUM")</f>
        <v>SLP-TUM</v>
      </c>
      <c r="B3" s="144" t="str">
        <f>"DE_"&amp;IF(A3="SLP-TUM",MID(D3,5,4)&amp;RIGHT(D3,1),"")&amp;IF(A3="SLP-FfE",MID(#REF!,5,3)&amp;"3"&amp;RIGHT(#REF!,1),"")</f>
        <v>DE_HEF03</v>
      </c>
      <c r="C3" s="252" t="str">
        <f>IF(A3="SLP-TUM",LEFT(D3,3),"")&amp;IF(A3="SLP-FfE",MID(#REF!,2,1)&amp;MID(#REF!,1,1)&amp;MID(#REF!,3,1),"")</f>
        <v>D13</v>
      </c>
      <c r="D3" s="253" t="s">
        <v>153</v>
      </c>
      <c r="E3" s="254">
        <v>3.0469694600000001</v>
      </c>
      <c r="F3" s="255">
        <v>-37.183314129999999</v>
      </c>
      <c r="G3" s="254">
        <v>5.6727846619999998</v>
      </c>
      <c r="H3" s="254">
        <v>9.6193059999999997E-2</v>
      </c>
      <c r="I3" s="256">
        <v>40</v>
      </c>
      <c r="J3" s="257">
        <v>0</v>
      </c>
      <c r="K3" s="257">
        <v>0</v>
      </c>
      <c r="L3" s="257">
        <v>0</v>
      </c>
      <c r="M3" s="258">
        <v>0</v>
      </c>
    </row>
    <row r="4" spans="1:14">
      <c r="A4" s="144" t="str">
        <f t="shared" ref="A4:A67" si="0">IF(MID(D4,1,8)="SigLinDe","SLP-FfE","SLP-TUM")</f>
        <v>SLP-TUM</v>
      </c>
      <c r="B4" s="144" t="str">
        <f t="shared" ref="B4:B67" si="1">"DE_"&amp;IF(A4="SLP-TUM",MID(D4,5,4)&amp;RIGHT(D4,1),"")&amp;IF(A4="SLP-FfE",MID(D1,5,3)&amp;"3"&amp;RIGHT(D1,1),"")</f>
        <v>DE_HEF04</v>
      </c>
      <c r="C4" s="259" t="str">
        <f t="shared" ref="C4:C67" si="2">IF(A4="SLP-TUM",LEFT(D4,3),"")&amp;IF(A4="SLP-FfE",MID(D1,2,1)&amp;MID(D1,1,1)&amp;MID(D1,3,1),"")</f>
        <v>D14</v>
      </c>
      <c r="D4" s="253" t="s">
        <v>154</v>
      </c>
      <c r="E4" s="254">
        <v>3.1850191300000001</v>
      </c>
      <c r="F4" s="254">
        <v>-37.412415490000001</v>
      </c>
      <c r="G4" s="254">
        <v>6.1723178729999999</v>
      </c>
      <c r="H4" s="254">
        <v>7.6109594000000003E-2</v>
      </c>
      <c r="I4" s="256">
        <v>40</v>
      </c>
      <c r="J4" s="257">
        <v>0</v>
      </c>
      <c r="K4" s="257">
        <v>0</v>
      </c>
      <c r="L4" s="257">
        <v>0</v>
      </c>
      <c r="M4" s="258">
        <v>0</v>
      </c>
    </row>
    <row r="5" spans="1:14">
      <c r="A5" s="144" t="str">
        <f t="shared" si="0"/>
        <v>SLP-TUM</v>
      </c>
      <c r="B5" s="144" t="str">
        <f t="shared" si="1"/>
        <v>DE_HEF05</v>
      </c>
      <c r="C5" s="259" t="str">
        <f t="shared" si="2"/>
        <v>D15</v>
      </c>
      <c r="D5" s="253" t="s">
        <v>155</v>
      </c>
      <c r="E5" s="254">
        <v>3.3456666720000001</v>
      </c>
      <c r="F5" s="254">
        <v>-37.52683159</v>
      </c>
      <c r="G5" s="254">
        <v>6.4328936829999996</v>
      </c>
      <c r="H5" s="254">
        <v>5.6256618000000001E-2</v>
      </c>
      <c r="I5" s="256">
        <v>40</v>
      </c>
      <c r="J5" s="257">
        <v>0</v>
      </c>
      <c r="K5" s="257">
        <v>0</v>
      </c>
      <c r="L5" s="257">
        <v>0</v>
      </c>
      <c r="M5" s="258">
        <v>0</v>
      </c>
    </row>
    <row r="6" spans="1:14">
      <c r="A6" s="144" t="str">
        <f t="shared" si="0"/>
        <v>SLP-FfE</v>
      </c>
      <c r="B6" s="144" t="str">
        <f t="shared" si="1"/>
        <v>DE_HEF33</v>
      </c>
      <c r="C6" s="259" t="str">
        <f t="shared" si="2"/>
        <v>1D3</v>
      </c>
      <c r="D6" s="253" t="s">
        <v>156</v>
      </c>
      <c r="E6" s="260">
        <v>1.6209544222121799</v>
      </c>
      <c r="F6" s="260">
        <v>-37.183314129999999</v>
      </c>
      <c r="G6" s="260">
        <v>5.6727846619999998</v>
      </c>
      <c r="H6" s="260">
        <v>7.16431179426293E-2</v>
      </c>
      <c r="I6" s="261">
        <v>40</v>
      </c>
      <c r="J6" s="262">
        <v>-4.9570015603147999E-2</v>
      </c>
      <c r="K6" s="262">
        <v>0.84010145808052905</v>
      </c>
      <c r="L6" s="262">
        <v>-2.20902646706885E-3</v>
      </c>
      <c r="M6" s="263">
        <v>0.10744679624398799</v>
      </c>
    </row>
    <row r="7" spans="1:14">
      <c r="A7" s="144" t="str">
        <f t="shared" si="0"/>
        <v>SLP-FfE</v>
      </c>
      <c r="B7" s="144" t="str">
        <f t="shared" si="1"/>
        <v>DE_HEF34</v>
      </c>
      <c r="C7" s="259" t="str">
        <f t="shared" si="2"/>
        <v>1D4</v>
      </c>
      <c r="D7" s="253" t="s">
        <v>157</v>
      </c>
      <c r="E7" s="260">
        <v>1.1161404945928199</v>
      </c>
      <c r="F7" s="260">
        <v>-37.412415490000001</v>
      </c>
      <c r="G7" s="260">
        <v>6.1723178729999999</v>
      </c>
      <c r="H7" s="260">
        <v>3.2005710392233197E-2</v>
      </c>
      <c r="I7" s="261">
        <v>40</v>
      </c>
      <c r="J7" s="262">
        <v>-7.4798127735256903E-2</v>
      </c>
      <c r="K7" s="262">
        <v>1.25835515399307</v>
      </c>
      <c r="L7" s="262">
        <v>-2.2609534480547999E-3</v>
      </c>
      <c r="M7" s="263">
        <v>0.173141235638753</v>
      </c>
    </row>
    <row r="8" spans="1:14">
      <c r="A8" s="144" t="str">
        <f t="shared" si="0"/>
        <v>SLP-TUM</v>
      </c>
      <c r="B8" s="144" t="str">
        <f t="shared" si="1"/>
        <v>DE_HMF03</v>
      </c>
      <c r="C8" s="259" t="str">
        <f t="shared" si="2"/>
        <v>D23</v>
      </c>
      <c r="D8" s="253" t="s">
        <v>158</v>
      </c>
      <c r="E8" s="254">
        <v>2.387761791</v>
      </c>
      <c r="F8" s="254">
        <v>-34.721360509999997</v>
      </c>
      <c r="G8" s="254">
        <v>5.8164304019999999</v>
      </c>
      <c r="H8" s="254">
        <v>0.120819368</v>
      </c>
      <c r="I8" s="256">
        <v>40</v>
      </c>
      <c r="J8" s="257">
        <v>0</v>
      </c>
      <c r="K8" s="257">
        <v>0</v>
      </c>
      <c r="L8" s="257">
        <v>0</v>
      </c>
      <c r="M8" s="258">
        <v>0</v>
      </c>
    </row>
    <row r="9" spans="1:14">
      <c r="A9" s="144" t="str">
        <f t="shared" si="0"/>
        <v>SLP-TUM</v>
      </c>
      <c r="B9" s="144" t="str">
        <f t="shared" si="1"/>
        <v>DE_HMF04</v>
      </c>
      <c r="C9" s="259" t="str">
        <f t="shared" si="2"/>
        <v>D24</v>
      </c>
      <c r="D9" s="253" t="s">
        <v>159</v>
      </c>
      <c r="E9" s="254">
        <v>2.5187775189999999</v>
      </c>
      <c r="F9" s="254">
        <v>-35.033375419999999</v>
      </c>
      <c r="G9" s="254">
        <v>6.224063396</v>
      </c>
      <c r="H9" s="254">
        <v>0.10107817199999999</v>
      </c>
      <c r="I9" s="256">
        <v>40</v>
      </c>
      <c r="J9" s="257">
        <v>0</v>
      </c>
      <c r="K9" s="257">
        <v>0</v>
      </c>
      <c r="L9" s="257">
        <v>0</v>
      </c>
      <c r="M9" s="258">
        <v>0</v>
      </c>
    </row>
    <row r="10" spans="1:14">
      <c r="A10" s="144" t="str">
        <f t="shared" si="0"/>
        <v>SLP-TUM</v>
      </c>
      <c r="B10" s="144" t="str">
        <f t="shared" si="1"/>
        <v>DE_HMF05</v>
      </c>
      <c r="C10" s="259" t="str">
        <f t="shared" si="2"/>
        <v>D25</v>
      </c>
      <c r="D10" s="253" t="s">
        <v>160</v>
      </c>
      <c r="E10" s="254">
        <v>2.656440592</v>
      </c>
      <c r="F10" s="254">
        <v>-35.251692669999997</v>
      </c>
      <c r="G10" s="254">
        <v>6.5182658619999998</v>
      </c>
      <c r="H10" s="254">
        <v>8.1205866000000002E-2</v>
      </c>
      <c r="I10" s="256">
        <v>40</v>
      </c>
      <c r="J10" s="257">
        <v>0</v>
      </c>
      <c r="K10" s="257">
        <v>0</v>
      </c>
      <c r="L10" s="257">
        <v>0</v>
      </c>
      <c r="M10" s="258">
        <v>0</v>
      </c>
    </row>
    <row r="11" spans="1:14">
      <c r="A11" s="144" t="str">
        <f t="shared" si="0"/>
        <v>SLP-FfE</v>
      </c>
      <c r="B11" s="144" t="str">
        <f t="shared" si="1"/>
        <v>DE_HMF33</v>
      </c>
      <c r="C11" s="259" t="str">
        <f t="shared" si="2"/>
        <v>2D3</v>
      </c>
      <c r="D11" s="253" t="s">
        <v>161</v>
      </c>
      <c r="E11" s="260">
        <v>1.2328654654123199</v>
      </c>
      <c r="F11" s="260">
        <v>-34.721360509999997</v>
      </c>
      <c r="G11" s="260">
        <v>5.8164304019999999</v>
      </c>
      <c r="H11" s="260">
        <v>8.7335193020600194E-2</v>
      </c>
      <c r="I11" s="261">
        <v>40</v>
      </c>
      <c r="J11" s="262">
        <v>-4.0928399400390697E-2</v>
      </c>
      <c r="K11" s="262">
        <v>0.76729203945074098</v>
      </c>
      <c r="L11" s="262">
        <v>-2.23202741619469E-3</v>
      </c>
      <c r="M11" s="263">
        <v>0.119920720218609</v>
      </c>
    </row>
    <row r="12" spans="1:14">
      <c r="A12" s="144" t="str">
        <f t="shared" si="0"/>
        <v>SLP-FfE</v>
      </c>
      <c r="B12" s="144" t="str">
        <f t="shared" si="1"/>
        <v>DE_HMF34</v>
      </c>
      <c r="C12" s="259" t="str">
        <f t="shared" si="2"/>
        <v>2D4</v>
      </c>
      <c r="D12" s="253" t="s">
        <v>162</v>
      </c>
      <c r="E12" s="260">
        <v>0.84822097350275205</v>
      </c>
      <c r="F12" s="260">
        <v>-35.033375419999999</v>
      </c>
      <c r="G12" s="260">
        <v>6.224063396</v>
      </c>
      <c r="H12" s="260">
        <v>4.0846779744687103E-2</v>
      </c>
      <c r="I12" s="261">
        <v>40</v>
      </c>
      <c r="J12" s="262">
        <v>-5.9839926223733901E-2</v>
      </c>
      <c r="K12" s="262">
        <v>1.1302267329556701</v>
      </c>
      <c r="L12" s="262">
        <v>-2.4758720772617799E-3</v>
      </c>
      <c r="M12" s="263">
        <v>0.21113754033454901</v>
      </c>
    </row>
    <row r="13" spans="1:14">
      <c r="A13" s="144" t="str">
        <f t="shared" si="0"/>
        <v>SLP-TUM</v>
      </c>
      <c r="B13" s="144" t="str">
        <f t="shared" si="1"/>
        <v>DE_HKO03</v>
      </c>
      <c r="C13" s="259" t="str">
        <f t="shared" si="2"/>
        <v>HK3</v>
      </c>
      <c r="D13" s="253" t="s">
        <v>253</v>
      </c>
      <c r="E13" s="254">
        <v>0.40409319999999999</v>
      </c>
      <c r="F13" s="254">
        <v>-24.439296800000001</v>
      </c>
      <c r="G13" s="254">
        <v>6.5718174999999999</v>
      </c>
      <c r="H13" s="254">
        <v>0.71077100000000004</v>
      </c>
      <c r="I13" s="256">
        <v>40</v>
      </c>
      <c r="J13" s="257">
        <v>0</v>
      </c>
      <c r="K13" s="257">
        <v>0</v>
      </c>
      <c r="L13" s="257">
        <v>0</v>
      </c>
      <c r="M13" s="258">
        <v>0</v>
      </c>
    </row>
    <row r="14" spans="1:14">
      <c r="A14" s="144" t="str">
        <f t="shared" si="0"/>
        <v>SLP-TUM</v>
      </c>
      <c r="B14" s="144" t="str">
        <f t="shared" si="1"/>
        <v>DE_GMK01</v>
      </c>
      <c r="C14" s="259" t="str">
        <f t="shared" si="2"/>
        <v>MK1</v>
      </c>
      <c r="D14" s="253" t="s">
        <v>163</v>
      </c>
      <c r="E14" s="254">
        <v>1.8644533640000001</v>
      </c>
      <c r="F14" s="254">
        <v>-30.707163250000001</v>
      </c>
      <c r="G14" s="254">
        <v>6.4626937309999999</v>
      </c>
      <c r="H14" s="254">
        <v>0.104833866</v>
      </c>
      <c r="I14" s="256">
        <v>40</v>
      </c>
      <c r="J14" s="257">
        <v>0</v>
      </c>
      <c r="K14" s="257">
        <v>0</v>
      </c>
      <c r="L14" s="257">
        <v>0</v>
      </c>
      <c r="M14" s="258">
        <v>0</v>
      </c>
    </row>
    <row r="15" spans="1:14">
      <c r="A15" s="144" t="str">
        <f t="shared" si="0"/>
        <v>SLP-TUM</v>
      </c>
      <c r="B15" s="144" t="str">
        <f t="shared" si="1"/>
        <v>DE_GMK02</v>
      </c>
      <c r="C15" s="259" t="str">
        <f t="shared" si="2"/>
        <v>MK2</v>
      </c>
      <c r="D15" s="253" t="s">
        <v>164</v>
      </c>
      <c r="E15" s="254">
        <v>2.2908183860000002</v>
      </c>
      <c r="F15" s="254">
        <v>-33.147686729999997</v>
      </c>
      <c r="G15" s="254">
        <v>6.3714765040000003</v>
      </c>
      <c r="H15" s="254">
        <v>8.1002321000000002E-2</v>
      </c>
      <c r="I15" s="256">
        <v>40</v>
      </c>
      <c r="J15" s="257">
        <v>0</v>
      </c>
      <c r="K15" s="257">
        <v>0</v>
      </c>
      <c r="L15" s="257">
        <v>0</v>
      </c>
      <c r="M15" s="258">
        <v>0</v>
      </c>
    </row>
    <row r="16" spans="1:14">
      <c r="A16" s="144" t="str">
        <f t="shared" si="0"/>
        <v>SLP-TUM</v>
      </c>
      <c r="B16" s="144" t="str">
        <f t="shared" si="1"/>
        <v>DE_GMK03</v>
      </c>
      <c r="C16" s="259" t="str">
        <f t="shared" si="2"/>
        <v>MK3</v>
      </c>
      <c r="D16" s="253" t="s">
        <v>165</v>
      </c>
      <c r="E16" s="254">
        <v>2.7882423940000001</v>
      </c>
      <c r="F16" s="254">
        <v>-34.880613019999998</v>
      </c>
      <c r="G16" s="254">
        <v>6.5951899220000003</v>
      </c>
      <c r="H16" s="254">
        <v>5.4032911000000003E-2</v>
      </c>
      <c r="I16" s="256">
        <v>40</v>
      </c>
      <c r="J16" s="257">
        <v>0</v>
      </c>
      <c r="K16" s="257">
        <v>0</v>
      </c>
      <c r="L16" s="257">
        <v>0</v>
      </c>
      <c r="M16" s="258">
        <v>0</v>
      </c>
    </row>
    <row r="17" spans="1:13">
      <c r="A17" s="144" t="str">
        <f t="shared" si="0"/>
        <v>SLP-TUM</v>
      </c>
      <c r="B17" s="144" t="str">
        <f t="shared" si="1"/>
        <v>DE_GMK04</v>
      </c>
      <c r="C17" s="259" t="str">
        <f t="shared" si="2"/>
        <v>MK4</v>
      </c>
      <c r="D17" s="253" t="s">
        <v>166</v>
      </c>
      <c r="E17" s="254">
        <v>3.117724811</v>
      </c>
      <c r="F17" s="254">
        <v>-35.871506220000001</v>
      </c>
      <c r="G17" s="254">
        <v>7.5186828869999998</v>
      </c>
      <c r="H17" s="254">
        <v>3.4330092999999999E-2</v>
      </c>
      <c r="I17" s="256">
        <v>40</v>
      </c>
      <c r="J17" s="257">
        <v>0</v>
      </c>
      <c r="K17" s="257">
        <v>0</v>
      </c>
      <c r="L17" s="257">
        <v>0</v>
      </c>
      <c r="M17" s="258">
        <v>0</v>
      </c>
    </row>
    <row r="18" spans="1:13">
      <c r="A18" s="144" t="str">
        <f t="shared" si="0"/>
        <v>SLP-TUM</v>
      </c>
      <c r="B18" s="144" t="str">
        <f t="shared" si="1"/>
        <v>DE_GMK05</v>
      </c>
      <c r="C18" s="259" t="str">
        <f t="shared" si="2"/>
        <v>MK5</v>
      </c>
      <c r="D18" s="253" t="s">
        <v>167</v>
      </c>
      <c r="E18" s="254">
        <v>3.5862355250000002</v>
      </c>
      <c r="F18" s="254">
        <v>-37.080299349999997</v>
      </c>
      <c r="G18" s="254">
        <v>8.2420571759999994</v>
      </c>
      <c r="H18" s="254">
        <v>1.4600757000000001E-2</v>
      </c>
      <c r="I18" s="256">
        <v>40</v>
      </c>
      <c r="J18" s="257">
        <v>0</v>
      </c>
      <c r="K18" s="257">
        <v>0</v>
      </c>
      <c r="L18" s="257">
        <v>0</v>
      </c>
      <c r="M18" s="258">
        <v>0</v>
      </c>
    </row>
    <row r="19" spans="1:13">
      <c r="A19" s="144" t="str">
        <f t="shared" si="0"/>
        <v>SLP-FfE</v>
      </c>
      <c r="B19" s="144" t="str">
        <f t="shared" si="1"/>
        <v>DE_GMK33</v>
      </c>
      <c r="C19" s="259" t="str">
        <f t="shared" si="2"/>
        <v>KM3</v>
      </c>
      <c r="D19" s="253" t="s">
        <v>168</v>
      </c>
      <c r="E19" s="260">
        <v>1.42024191542431</v>
      </c>
      <c r="F19" s="260">
        <v>-34.880613019999998</v>
      </c>
      <c r="G19" s="260">
        <v>6.5951899220000003</v>
      </c>
      <c r="H19" s="260">
        <v>3.8531702714088997E-2</v>
      </c>
      <c r="I19" s="261">
        <v>40</v>
      </c>
      <c r="J19" s="262">
        <v>-5.2108424079363599E-2</v>
      </c>
      <c r="K19" s="262">
        <v>0.86479187369647303</v>
      </c>
      <c r="L19" s="262">
        <v>-1.43692105046127E-3</v>
      </c>
      <c r="M19" s="263">
        <v>6.3760191039307093E-2</v>
      </c>
    </row>
    <row r="20" spans="1:13">
      <c r="A20" s="144" t="str">
        <f t="shared" si="0"/>
        <v>SLP-FfE</v>
      </c>
      <c r="B20" s="144" t="str">
        <f t="shared" si="1"/>
        <v>DE_GMK34</v>
      </c>
      <c r="C20" s="259" t="str">
        <f t="shared" si="2"/>
        <v>KM4</v>
      </c>
      <c r="D20" s="253" t="s">
        <v>169</v>
      </c>
      <c r="E20" s="260">
        <v>1.0689964636299001</v>
      </c>
      <c r="F20" s="260">
        <v>-35.871506220000001</v>
      </c>
      <c r="G20" s="260">
        <v>7.5186828869999998</v>
      </c>
      <c r="H20" s="260">
        <v>1.41252035652169E-2</v>
      </c>
      <c r="I20" s="261">
        <v>40</v>
      </c>
      <c r="J20" s="262">
        <v>-8.3582813319919402E-2</v>
      </c>
      <c r="K20" s="262">
        <v>1.33638972689953</v>
      </c>
      <c r="L20" s="262">
        <v>-1.0123334710651301E-3</v>
      </c>
      <c r="M20" s="263">
        <v>7.6761045119226101E-2</v>
      </c>
    </row>
    <row r="21" spans="1:13">
      <c r="A21" s="144" t="str">
        <f t="shared" si="0"/>
        <v>SLP-TUM</v>
      </c>
      <c r="B21" s="144" t="str">
        <f t="shared" si="1"/>
        <v>DE_GHA01</v>
      </c>
      <c r="C21" s="259" t="str">
        <f t="shared" si="2"/>
        <v>HA1</v>
      </c>
      <c r="D21" s="253" t="s">
        <v>170</v>
      </c>
      <c r="E21" s="254">
        <v>2.3742827709999998</v>
      </c>
      <c r="F21" s="254">
        <v>-34.759550140000002</v>
      </c>
      <c r="G21" s="254">
        <v>5.9987036829999996</v>
      </c>
      <c r="H21" s="254">
        <v>0.149441144</v>
      </c>
      <c r="I21" s="256">
        <v>40</v>
      </c>
      <c r="J21" s="257">
        <v>0</v>
      </c>
      <c r="K21" s="257">
        <v>0</v>
      </c>
      <c r="L21" s="257">
        <v>0</v>
      </c>
      <c r="M21" s="258">
        <v>0</v>
      </c>
    </row>
    <row r="22" spans="1:13">
      <c r="A22" s="144" t="str">
        <f t="shared" si="0"/>
        <v>SLP-TUM</v>
      </c>
      <c r="B22" s="144" t="str">
        <f t="shared" si="1"/>
        <v>DE_GHA02</v>
      </c>
      <c r="C22" s="259" t="str">
        <f t="shared" si="2"/>
        <v>HA2</v>
      </c>
      <c r="D22" s="253" t="s">
        <v>171</v>
      </c>
      <c r="E22" s="254">
        <v>2.8544748530000001</v>
      </c>
      <c r="F22" s="254">
        <v>-35.629423080000002</v>
      </c>
      <c r="G22" s="254">
        <v>7.0058264430000001</v>
      </c>
      <c r="H22" s="254">
        <v>0.11647722100000001</v>
      </c>
      <c r="I22" s="256">
        <v>40</v>
      </c>
      <c r="J22" s="257">
        <v>0</v>
      </c>
      <c r="K22" s="257">
        <v>0</v>
      </c>
      <c r="L22" s="257">
        <v>0</v>
      </c>
      <c r="M22" s="258">
        <v>0</v>
      </c>
    </row>
    <row r="23" spans="1:13">
      <c r="A23" s="144" t="str">
        <f t="shared" si="0"/>
        <v>SLP-TUM</v>
      </c>
      <c r="B23" s="144" t="str">
        <f t="shared" si="1"/>
        <v>DE_GHA03</v>
      </c>
      <c r="C23" s="259" t="str">
        <f t="shared" si="2"/>
        <v>HA3</v>
      </c>
      <c r="D23" s="253" t="s">
        <v>172</v>
      </c>
      <c r="E23" s="254">
        <v>3.58112137</v>
      </c>
      <c r="F23" s="254">
        <v>-36.965006520000003</v>
      </c>
      <c r="G23" s="254">
        <v>7.2256946710000003</v>
      </c>
      <c r="H23" s="254">
        <v>4.4841566999999999E-2</v>
      </c>
      <c r="I23" s="256">
        <v>40</v>
      </c>
      <c r="J23" s="257">
        <v>0</v>
      </c>
      <c r="K23" s="257">
        <v>0</v>
      </c>
      <c r="L23" s="257">
        <v>0</v>
      </c>
      <c r="M23" s="258">
        <v>0</v>
      </c>
    </row>
    <row r="24" spans="1:13">
      <c r="A24" s="144" t="str">
        <f t="shared" si="0"/>
        <v>SLP-TUM</v>
      </c>
      <c r="B24" s="144" t="str">
        <f t="shared" si="1"/>
        <v>DE_GHA04</v>
      </c>
      <c r="C24" s="259" t="str">
        <f t="shared" si="2"/>
        <v>HA4</v>
      </c>
      <c r="D24" s="253" t="s">
        <v>173</v>
      </c>
      <c r="E24" s="254">
        <v>4.0196902039999998</v>
      </c>
      <c r="F24" s="254">
        <v>-37.82820366</v>
      </c>
      <c r="G24" s="254">
        <v>8.1593368759999994</v>
      </c>
      <c r="H24" s="254">
        <v>4.7284495000000003E-2</v>
      </c>
      <c r="I24" s="256">
        <v>40</v>
      </c>
      <c r="J24" s="257">
        <v>0</v>
      </c>
      <c r="K24" s="257">
        <v>0</v>
      </c>
      <c r="L24" s="257">
        <v>0</v>
      </c>
      <c r="M24" s="258">
        <v>0</v>
      </c>
    </row>
    <row r="25" spans="1:13">
      <c r="A25" s="144" t="str">
        <f t="shared" si="0"/>
        <v>SLP-TUM</v>
      </c>
      <c r="B25" s="144" t="str">
        <f t="shared" si="1"/>
        <v>DE_GHA05</v>
      </c>
      <c r="C25" s="259" t="str">
        <f t="shared" si="2"/>
        <v>HA5</v>
      </c>
      <c r="D25" s="253" t="s">
        <v>174</v>
      </c>
      <c r="E25" s="254">
        <v>4.8252375660000002</v>
      </c>
      <c r="F25" s="254">
        <v>-39.280256399999999</v>
      </c>
      <c r="G25" s="254">
        <v>8.6240216889999992</v>
      </c>
      <c r="H25" s="254">
        <v>9.9944630000000003E-3</v>
      </c>
      <c r="I25" s="256">
        <v>40</v>
      </c>
      <c r="J25" s="257">
        <v>0</v>
      </c>
      <c r="K25" s="257">
        <v>0</v>
      </c>
      <c r="L25" s="257">
        <v>0</v>
      </c>
      <c r="M25" s="258">
        <v>0</v>
      </c>
    </row>
    <row r="26" spans="1:13">
      <c r="A26" s="144" t="str">
        <f t="shared" si="0"/>
        <v>SLP-FfE</v>
      </c>
      <c r="B26" s="144" t="str">
        <f t="shared" si="1"/>
        <v>DE_GHA33</v>
      </c>
      <c r="C26" s="259" t="str">
        <f t="shared" si="2"/>
        <v>AH3</v>
      </c>
      <c r="D26" s="253" t="s">
        <v>175</v>
      </c>
      <c r="E26" s="260">
        <v>1.9724775375047101</v>
      </c>
      <c r="F26" s="260">
        <v>-36.965006520000003</v>
      </c>
      <c r="G26" s="260">
        <v>7.2256946710000003</v>
      </c>
      <c r="H26" s="260">
        <v>3.45781570412447E-2</v>
      </c>
      <c r="I26" s="261">
        <v>40</v>
      </c>
      <c r="J26" s="262">
        <v>-7.42174022298938E-2</v>
      </c>
      <c r="K26" s="262">
        <v>1.04488686764057</v>
      </c>
      <c r="L26" s="262">
        <v>-8.2954472023944598E-4</v>
      </c>
      <c r="M26" s="263">
        <v>4.6179491297601398E-2</v>
      </c>
    </row>
    <row r="27" spans="1:13">
      <c r="A27" s="144" t="str">
        <f t="shared" si="0"/>
        <v>SLP-FfE</v>
      </c>
      <c r="B27" s="144" t="str">
        <f t="shared" si="1"/>
        <v>DE_GHA34</v>
      </c>
      <c r="C27" s="259" t="str">
        <f t="shared" si="2"/>
        <v>AH4</v>
      </c>
      <c r="D27" s="253" t="s">
        <v>176</v>
      </c>
      <c r="E27" s="260">
        <v>1.4618402061656499</v>
      </c>
      <c r="F27" s="260">
        <v>-37.82820366</v>
      </c>
      <c r="G27" s="260">
        <v>8.1593368759999994</v>
      </c>
      <c r="H27" s="260">
        <v>2.0635135270013101E-2</v>
      </c>
      <c r="I27" s="261">
        <v>40</v>
      </c>
      <c r="J27" s="262">
        <v>-0.116180540903633</v>
      </c>
      <c r="K27" s="262">
        <v>1.6114790203783</v>
      </c>
      <c r="L27" s="262">
        <v>-5.4764408643845201E-4</v>
      </c>
      <c r="M27" s="263">
        <v>8.9788246220285806E-2</v>
      </c>
    </row>
    <row r="28" spans="1:13">
      <c r="A28" s="144" t="str">
        <f t="shared" si="0"/>
        <v>SLP-TUM</v>
      </c>
      <c r="B28" s="144" t="str">
        <f t="shared" si="1"/>
        <v>DE_GKO01</v>
      </c>
      <c r="C28" s="259" t="str">
        <f t="shared" si="2"/>
        <v>KO1</v>
      </c>
      <c r="D28" s="253" t="s">
        <v>177</v>
      </c>
      <c r="E28" s="254">
        <v>1.415957087</v>
      </c>
      <c r="F28" s="254">
        <v>-30.842519159999998</v>
      </c>
      <c r="G28" s="254">
        <v>6.3467557010000002</v>
      </c>
      <c r="H28" s="254">
        <v>0.32117906499999999</v>
      </c>
      <c r="I28" s="256">
        <v>40</v>
      </c>
      <c r="J28" s="257">
        <v>0</v>
      </c>
      <c r="K28" s="257">
        <v>0</v>
      </c>
      <c r="L28" s="257">
        <v>0</v>
      </c>
      <c r="M28" s="258">
        <v>0</v>
      </c>
    </row>
    <row r="29" spans="1:13">
      <c r="A29" s="144" t="str">
        <f t="shared" si="0"/>
        <v>SLP-TUM</v>
      </c>
      <c r="B29" s="144" t="str">
        <f t="shared" si="1"/>
        <v>DE_GKO02</v>
      </c>
      <c r="C29" s="259" t="str">
        <f t="shared" si="2"/>
        <v>KO2</v>
      </c>
      <c r="D29" s="253" t="s">
        <v>178</v>
      </c>
      <c r="E29" s="254">
        <v>2.0660500700000002</v>
      </c>
      <c r="F29" s="254">
        <v>-33.601652029999997</v>
      </c>
      <c r="G29" s="254">
        <v>6.675360994</v>
      </c>
      <c r="H29" s="254">
        <v>0.23091246800000001</v>
      </c>
      <c r="I29" s="256">
        <v>40</v>
      </c>
      <c r="J29" s="257">
        <v>0</v>
      </c>
      <c r="K29" s="257">
        <v>0</v>
      </c>
      <c r="L29" s="257">
        <v>0</v>
      </c>
      <c r="M29" s="258">
        <v>0</v>
      </c>
    </row>
    <row r="30" spans="1:13">
      <c r="A30" s="144" t="str">
        <f t="shared" si="0"/>
        <v>SLP-TUM</v>
      </c>
      <c r="B30" s="144" t="str">
        <f t="shared" si="1"/>
        <v>DE_GKO03</v>
      </c>
      <c r="C30" s="259" t="str">
        <f t="shared" si="2"/>
        <v>KO3</v>
      </c>
      <c r="D30" s="253" t="s">
        <v>179</v>
      </c>
      <c r="E30" s="254">
        <v>2.7172288440000001</v>
      </c>
      <c r="F30" s="254">
        <v>-35.141256310000003</v>
      </c>
      <c r="G30" s="254">
        <v>7.1303395089999997</v>
      </c>
      <c r="H30" s="254">
        <v>0.14184716999999999</v>
      </c>
      <c r="I30" s="256">
        <v>40</v>
      </c>
      <c r="J30" s="257">
        <v>0</v>
      </c>
      <c r="K30" s="257">
        <v>0</v>
      </c>
      <c r="L30" s="257">
        <v>0</v>
      </c>
      <c r="M30" s="258">
        <v>0</v>
      </c>
    </row>
    <row r="31" spans="1:13">
      <c r="A31" s="144" t="str">
        <f t="shared" si="0"/>
        <v>SLP-TUM</v>
      </c>
      <c r="B31" s="144" t="str">
        <f t="shared" si="1"/>
        <v>DE_GKO04</v>
      </c>
      <c r="C31" s="259" t="str">
        <f t="shared" si="2"/>
        <v>KO4</v>
      </c>
      <c r="D31" s="253" t="s">
        <v>180</v>
      </c>
      <c r="E31" s="254">
        <v>3.4428942870000001</v>
      </c>
      <c r="F31" s="254">
        <v>-36.659050409999999</v>
      </c>
      <c r="G31" s="254">
        <v>7.6083226159999997</v>
      </c>
      <c r="H31" s="254">
        <v>7.4685009999999996E-2</v>
      </c>
      <c r="I31" s="256">
        <v>40</v>
      </c>
      <c r="J31" s="257">
        <v>0</v>
      </c>
      <c r="K31" s="257">
        <v>0</v>
      </c>
      <c r="L31" s="257">
        <v>0</v>
      </c>
      <c r="M31" s="258">
        <v>0</v>
      </c>
    </row>
    <row r="32" spans="1:13">
      <c r="A32" s="144" t="str">
        <f t="shared" si="0"/>
        <v>SLP-TUM</v>
      </c>
      <c r="B32" s="144" t="str">
        <f t="shared" si="1"/>
        <v>DE_GKO05</v>
      </c>
      <c r="C32" s="259" t="str">
        <f t="shared" si="2"/>
        <v>KO5</v>
      </c>
      <c r="D32" s="253" t="s">
        <v>181</v>
      </c>
      <c r="E32" s="254">
        <v>4.3624833000000001</v>
      </c>
      <c r="F32" s="254">
        <v>-38.663402159999997</v>
      </c>
      <c r="G32" s="254">
        <v>7.5974644280000003</v>
      </c>
      <c r="H32" s="254">
        <v>8.3264180000000004E-3</v>
      </c>
      <c r="I32" s="256">
        <v>40</v>
      </c>
      <c r="J32" s="257">
        <v>0</v>
      </c>
      <c r="K32" s="257">
        <v>0</v>
      </c>
      <c r="L32" s="257">
        <v>0</v>
      </c>
      <c r="M32" s="258">
        <v>0</v>
      </c>
    </row>
    <row r="33" spans="1:13">
      <c r="A33" s="144" t="str">
        <f t="shared" si="0"/>
        <v>SLP-FfE</v>
      </c>
      <c r="B33" s="144" t="str">
        <f t="shared" si="1"/>
        <v>DE_GKO33</v>
      </c>
      <c r="C33" s="259" t="str">
        <f t="shared" si="2"/>
        <v>OK3</v>
      </c>
      <c r="D33" s="253" t="s">
        <v>182</v>
      </c>
      <c r="E33" s="260">
        <v>1.3554515228930799</v>
      </c>
      <c r="F33" s="260">
        <v>-35.141256310000003</v>
      </c>
      <c r="G33" s="260">
        <v>7.1303395089999997</v>
      </c>
      <c r="H33" s="260">
        <v>9.9061861582536506E-2</v>
      </c>
      <c r="I33" s="261">
        <v>40</v>
      </c>
      <c r="J33" s="262">
        <v>-5.2648691429529201E-2</v>
      </c>
      <c r="K33" s="262">
        <v>0.86260857514223399</v>
      </c>
      <c r="L33" s="262">
        <v>-8.8083895602660196E-4</v>
      </c>
      <c r="M33" s="263">
        <v>9.6401419393708401E-2</v>
      </c>
    </row>
    <row r="34" spans="1:13">
      <c r="A34" s="144" t="str">
        <f t="shared" si="0"/>
        <v>SLP-FfE</v>
      </c>
      <c r="B34" s="144" t="str">
        <f t="shared" si="1"/>
        <v>DE_GKO34</v>
      </c>
      <c r="C34" s="259" t="str">
        <f t="shared" si="2"/>
        <v>OK4</v>
      </c>
      <c r="D34" s="253" t="s">
        <v>183</v>
      </c>
      <c r="E34" s="260">
        <v>1.1442934127386</v>
      </c>
      <c r="F34" s="260">
        <v>-36.659050409999999</v>
      </c>
      <c r="G34" s="260">
        <v>7.6083226159999997</v>
      </c>
      <c r="H34" s="260">
        <v>2.9787112068823101E-2</v>
      </c>
      <c r="I34" s="261">
        <v>40</v>
      </c>
      <c r="J34" s="262">
        <v>-8.8937869730380897E-2</v>
      </c>
      <c r="K34" s="262">
        <v>1.3815917323323399</v>
      </c>
      <c r="L34" s="262">
        <v>-8.5776492780071105E-4</v>
      </c>
      <c r="M34" s="263">
        <v>0.13122420309427399</v>
      </c>
    </row>
    <row r="35" spans="1:13">
      <c r="A35" s="144" t="str">
        <f t="shared" si="0"/>
        <v>SLP-TUM</v>
      </c>
      <c r="B35" s="144" t="str">
        <f t="shared" si="1"/>
        <v>DE_GBD01</v>
      </c>
      <c r="C35" s="259" t="str">
        <f t="shared" si="2"/>
        <v>BD1</v>
      </c>
      <c r="D35" s="253" t="s">
        <v>184</v>
      </c>
      <c r="E35" s="254">
        <v>1.2903504589999999</v>
      </c>
      <c r="F35" s="254">
        <v>-35.234986829999997</v>
      </c>
      <c r="G35" s="254">
        <v>2.1064246880000002</v>
      </c>
      <c r="H35" s="254">
        <v>0.45572533300000001</v>
      </c>
      <c r="I35" s="256">
        <v>40</v>
      </c>
      <c r="J35" s="257">
        <v>0</v>
      </c>
      <c r="K35" s="257">
        <v>0</v>
      </c>
      <c r="L35" s="257">
        <v>0</v>
      </c>
      <c r="M35" s="258">
        <v>0</v>
      </c>
    </row>
    <row r="36" spans="1:13">
      <c r="A36" s="144" t="str">
        <f t="shared" si="0"/>
        <v>SLP-TUM</v>
      </c>
      <c r="B36" s="144" t="str">
        <f t="shared" si="1"/>
        <v>DE_GBD02</v>
      </c>
      <c r="C36" s="259" t="str">
        <f t="shared" si="2"/>
        <v>BD2</v>
      </c>
      <c r="D36" s="253" t="s">
        <v>185</v>
      </c>
      <c r="E36" s="254">
        <v>2.1095878429999999</v>
      </c>
      <c r="F36" s="254">
        <v>-35.84445084</v>
      </c>
      <c r="G36" s="254">
        <v>5.2154672279999996</v>
      </c>
      <c r="H36" s="254">
        <v>0.28545825400000002</v>
      </c>
      <c r="I36" s="256">
        <v>40</v>
      </c>
      <c r="J36" s="257">
        <v>0</v>
      </c>
      <c r="K36" s="257">
        <v>0</v>
      </c>
      <c r="L36" s="257">
        <v>0</v>
      </c>
      <c r="M36" s="258">
        <v>0</v>
      </c>
    </row>
    <row r="37" spans="1:13">
      <c r="A37" s="144" t="str">
        <f t="shared" si="0"/>
        <v>SLP-TUM</v>
      </c>
      <c r="B37" s="144" t="str">
        <f t="shared" si="1"/>
        <v>DE_GBD03</v>
      </c>
      <c r="C37" s="259" t="str">
        <f t="shared" si="2"/>
        <v>BD3</v>
      </c>
      <c r="D37" s="253" t="s">
        <v>186</v>
      </c>
      <c r="E37" s="254">
        <v>2.917702722</v>
      </c>
      <c r="F37" s="254">
        <v>-36.179411649999999</v>
      </c>
      <c r="G37" s="254">
        <v>5.9265161649999998</v>
      </c>
      <c r="H37" s="254">
        <v>0.11519117600000001</v>
      </c>
      <c r="I37" s="256">
        <v>40</v>
      </c>
      <c r="J37" s="257">
        <v>0</v>
      </c>
      <c r="K37" s="257">
        <v>0</v>
      </c>
      <c r="L37" s="257">
        <v>0</v>
      </c>
      <c r="M37" s="258">
        <v>0</v>
      </c>
    </row>
    <row r="38" spans="1:13">
      <c r="A38" s="144" t="str">
        <f t="shared" si="0"/>
        <v>SLP-TUM</v>
      </c>
      <c r="B38" s="144" t="str">
        <f t="shared" si="1"/>
        <v>DE_GBD04</v>
      </c>
      <c r="C38" s="259" t="str">
        <f t="shared" si="2"/>
        <v>BD4</v>
      </c>
      <c r="D38" s="253" t="s">
        <v>187</v>
      </c>
      <c r="E38" s="254">
        <v>3.75</v>
      </c>
      <c r="F38" s="254">
        <v>-37.5</v>
      </c>
      <c r="G38" s="254">
        <v>6.8</v>
      </c>
      <c r="H38" s="254">
        <v>6.0911264999999999E-2</v>
      </c>
      <c r="I38" s="256">
        <v>40</v>
      </c>
      <c r="J38" s="257">
        <v>0</v>
      </c>
      <c r="K38" s="257">
        <v>0</v>
      </c>
      <c r="L38" s="257">
        <v>0</v>
      </c>
      <c r="M38" s="258">
        <v>0</v>
      </c>
    </row>
    <row r="39" spans="1:13">
      <c r="A39" s="144" t="str">
        <f t="shared" si="0"/>
        <v>SLP-TUM</v>
      </c>
      <c r="B39" s="144" t="str">
        <f t="shared" si="1"/>
        <v>DE_GBD05</v>
      </c>
      <c r="C39" s="259" t="str">
        <f t="shared" si="2"/>
        <v>BD5</v>
      </c>
      <c r="D39" s="253" t="s">
        <v>188</v>
      </c>
      <c r="E39" s="254">
        <v>4.5699505650000001</v>
      </c>
      <c r="F39" s="254">
        <v>-38.535339239999999</v>
      </c>
      <c r="G39" s="254">
        <v>7.5976990989999997</v>
      </c>
      <c r="H39" s="254">
        <v>6.6313539999999999E-3</v>
      </c>
      <c r="I39" s="256">
        <v>40</v>
      </c>
      <c r="J39" s="257">
        <v>0</v>
      </c>
      <c r="K39" s="257">
        <v>0</v>
      </c>
      <c r="L39" s="257">
        <v>0</v>
      </c>
      <c r="M39" s="258">
        <v>0</v>
      </c>
    </row>
    <row r="40" spans="1:13">
      <c r="A40" s="144" t="str">
        <f t="shared" si="0"/>
        <v>SLP-FfE</v>
      </c>
      <c r="B40" s="144" t="str">
        <f t="shared" si="1"/>
        <v>DE_GBD33</v>
      </c>
      <c r="C40" s="259" t="str">
        <f t="shared" si="2"/>
        <v>DB3</v>
      </c>
      <c r="D40" s="253" t="s">
        <v>189</v>
      </c>
      <c r="E40" s="260">
        <v>1.4633681573374999</v>
      </c>
      <c r="F40" s="260">
        <v>-36.179411649999999</v>
      </c>
      <c r="G40" s="260">
        <v>5.9265161649999998</v>
      </c>
      <c r="H40" s="260">
        <v>8.08834761578303E-2</v>
      </c>
      <c r="I40" s="261">
        <v>40</v>
      </c>
      <c r="J40" s="262">
        <v>-4.7579990370695997E-2</v>
      </c>
      <c r="K40" s="262">
        <v>0.82307541850402</v>
      </c>
      <c r="L40" s="262">
        <v>-1.92725690584626E-3</v>
      </c>
      <c r="M40" s="263">
        <v>0.10770459892515501</v>
      </c>
    </row>
    <row r="41" spans="1:13">
      <c r="A41" s="144" t="str">
        <f t="shared" si="0"/>
        <v>SLP-FfE</v>
      </c>
      <c r="B41" s="144" t="str">
        <f t="shared" si="1"/>
        <v>DE_GBD34</v>
      </c>
      <c r="C41" s="259" t="str">
        <f t="shared" si="2"/>
        <v>DB4</v>
      </c>
      <c r="D41" s="253" t="s">
        <v>190</v>
      </c>
      <c r="E41" s="260">
        <v>1.2203330380374799</v>
      </c>
      <c r="F41" s="260">
        <v>-37.5</v>
      </c>
      <c r="G41" s="260">
        <v>6.8</v>
      </c>
      <c r="H41" s="260">
        <v>2.3786249301809798E-2</v>
      </c>
      <c r="I41" s="261">
        <v>40</v>
      </c>
      <c r="J41" s="262">
        <v>-8.7161027012782805E-2</v>
      </c>
      <c r="K41" s="262">
        <v>1.3637969491326001</v>
      </c>
      <c r="L41" s="262">
        <v>-1.4796273845085E-3</v>
      </c>
      <c r="M41" s="263">
        <v>0.123859983206355</v>
      </c>
    </row>
    <row r="42" spans="1:13">
      <c r="A42" s="144" t="str">
        <f t="shared" si="0"/>
        <v>SLP-TUM</v>
      </c>
      <c r="B42" s="144" t="str">
        <f t="shared" si="1"/>
        <v>DE_GGA01</v>
      </c>
      <c r="C42" s="259" t="str">
        <f t="shared" si="2"/>
        <v>GA1</v>
      </c>
      <c r="D42" s="253" t="s">
        <v>191</v>
      </c>
      <c r="E42" s="254">
        <v>1.177034538</v>
      </c>
      <c r="F42" s="254">
        <v>-39.159991400000003</v>
      </c>
      <c r="G42" s="254">
        <v>4.2076109639999997</v>
      </c>
      <c r="H42" s="254">
        <v>0.66047393200000004</v>
      </c>
      <c r="I42" s="256">
        <v>40</v>
      </c>
      <c r="J42" s="257">
        <v>0</v>
      </c>
      <c r="K42" s="257">
        <v>0</v>
      </c>
      <c r="L42" s="257">
        <v>0</v>
      </c>
      <c r="M42" s="258">
        <v>0</v>
      </c>
    </row>
    <row r="43" spans="1:13">
      <c r="A43" s="144" t="str">
        <f t="shared" si="0"/>
        <v>SLP-TUM</v>
      </c>
      <c r="B43" s="144" t="str">
        <f t="shared" si="1"/>
        <v>DE_GGA02</v>
      </c>
      <c r="C43" s="259" t="str">
        <f t="shared" si="2"/>
        <v>GA2</v>
      </c>
      <c r="D43" s="253" t="s">
        <v>192</v>
      </c>
      <c r="E43" s="254">
        <v>1.648762294</v>
      </c>
      <c r="F43" s="254">
        <v>-36.399273569999998</v>
      </c>
      <c r="G43" s="254">
        <v>6.2149172090000002</v>
      </c>
      <c r="H43" s="254">
        <v>0.48776373299999998</v>
      </c>
      <c r="I43" s="256">
        <v>40</v>
      </c>
      <c r="J43" s="257">
        <v>0</v>
      </c>
      <c r="K43" s="257">
        <v>0</v>
      </c>
      <c r="L43" s="257">
        <v>0</v>
      </c>
      <c r="M43" s="258">
        <v>0</v>
      </c>
    </row>
    <row r="44" spans="1:13">
      <c r="A44" s="144" t="str">
        <f t="shared" si="0"/>
        <v>SLP-TUM</v>
      </c>
      <c r="B44" s="144" t="str">
        <f t="shared" si="1"/>
        <v>DE_GGA03</v>
      </c>
      <c r="C44" s="259" t="str">
        <f t="shared" si="2"/>
        <v>GA3</v>
      </c>
      <c r="D44" s="253" t="s">
        <v>193</v>
      </c>
      <c r="E44" s="254">
        <v>2.2850164739999999</v>
      </c>
      <c r="F44" s="254">
        <v>-36.287858389999997</v>
      </c>
      <c r="G44" s="254">
        <v>6.5885126390000002</v>
      </c>
      <c r="H44" s="254">
        <v>0.31505353400000002</v>
      </c>
      <c r="I44" s="256">
        <v>40</v>
      </c>
      <c r="J44" s="257">
        <v>0</v>
      </c>
      <c r="K44" s="257">
        <v>0</v>
      </c>
      <c r="L44" s="257">
        <v>0</v>
      </c>
      <c r="M44" s="258">
        <v>0</v>
      </c>
    </row>
    <row r="45" spans="1:13">
      <c r="A45" s="144" t="str">
        <f t="shared" si="0"/>
        <v>SLP-TUM</v>
      </c>
      <c r="B45" s="144" t="str">
        <f t="shared" si="1"/>
        <v>DE_GGA04</v>
      </c>
      <c r="C45" s="259" t="str">
        <f t="shared" si="2"/>
        <v>GA4</v>
      </c>
      <c r="D45" s="253" t="s">
        <v>194</v>
      </c>
      <c r="E45" s="254">
        <v>2.8195656150000001</v>
      </c>
      <c r="F45" s="254">
        <v>-36</v>
      </c>
      <c r="G45" s="254">
        <v>7.7368517680000002</v>
      </c>
      <c r="H45" s="254">
        <v>0.15728097999999999</v>
      </c>
      <c r="I45" s="256">
        <v>40</v>
      </c>
      <c r="J45" s="257">
        <v>0</v>
      </c>
      <c r="K45" s="257">
        <v>0</v>
      </c>
      <c r="L45" s="257">
        <v>0</v>
      </c>
      <c r="M45" s="258">
        <v>0</v>
      </c>
    </row>
    <row r="46" spans="1:13">
      <c r="A46" s="144" t="str">
        <f t="shared" si="0"/>
        <v>SLP-TUM</v>
      </c>
      <c r="B46" s="144" t="str">
        <f t="shared" si="1"/>
        <v>DE_GGA05</v>
      </c>
      <c r="C46" s="259" t="str">
        <f t="shared" si="2"/>
        <v>GA5</v>
      </c>
      <c r="D46" s="253" t="s">
        <v>195</v>
      </c>
      <c r="E46" s="254">
        <v>3.3295574819999998</v>
      </c>
      <c r="F46" s="254">
        <v>-36.014621120000001</v>
      </c>
      <c r="G46" s="254">
        <v>8.7767464709999992</v>
      </c>
      <c r="H46" s="254">
        <v>0</v>
      </c>
      <c r="I46" s="256">
        <v>40</v>
      </c>
      <c r="J46" s="257">
        <v>0</v>
      </c>
      <c r="K46" s="257">
        <v>0</v>
      </c>
      <c r="L46" s="257">
        <v>0</v>
      </c>
      <c r="M46" s="258">
        <v>0</v>
      </c>
    </row>
    <row r="47" spans="1:13">
      <c r="A47" s="144" t="str">
        <f t="shared" si="0"/>
        <v>SLP-FfE</v>
      </c>
      <c r="B47" s="144" t="str">
        <f t="shared" si="1"/>
        <v>DE_GGA33</v>
      </c>
      <c r="C47" s="259" t="str">
        <f t="shared" si="2"/>
        <v>AG3</v>
      </c>
      <c r="D47" s="253" t="s">
        <v>196</v>
      </c>
      <c r="E47" s="260">
        <v>1.15820816823062</v>
      </c>
      <c r="F47" s="260">
        <v>-36.287858389999997</v>
      </c>
      <c r="G47" s="260">
        <v>6.5885126390000002</v>
      </c>
      <c r="H47" s="260">
        <v>0.223568019279065</v>
      </c>
      <c r="I47" s="261">
        <v>40</v>
      </c>
      <c r="J47" s="262">
        <v>-4.1033478424869901E-2</v>
      </c>
      <c r="K47" s="262">
        <v>0.75264513854265702</v>
      </c>
      <c r="L47" s="262">
        <v>-9.0876855297962304E-4</v>
      </c>
      <c r="M47" s="263">
        <v>0.19166407030820301</v>
      </c>
    </row>
    <row r="48" spans="1:13">
      <c r="A48" s="144" t="str">
        <f t="shared" si="0"/>
        <v>SLP-FfE</v>
      </c>
      <c r="B48" s="144" t="str">
        <f t="shared" si="1"/>
        <v>DE_GGA34</v>
      </c>
      <c r="C48" s="259" t="str">
        <f t="shared" si="2"/>
        <v>AG4</v>
      </c>
      <c r="D48" s="253" t="s">
        <v>197</v>
      </c>
      <c r="E48" s="260">
        <v>0.95531282382357197</v>
      </c>
      <c r="F48" s="260">
        <v>-36</v>
      </c>
      <c r="G48" s="260">
        <v>7.7368517680000002</v>
      </c>
      <c r="H48" s="260">
        <v>6.3947100080182603E-2</v>
      </c>
      <c r="I48" s="261">
        <v>40</v>
      </c>
      <c r="J48" s="262">
        <v>-7.5790918655094297E-2</v>
      </c>
      <c r="K48" s="262">
        <v>1.2684538030003001</v>
      </c>
      <c r="L48" s="262">
        <v>-7.4406792735166297E-4</v>
      </c>
      <c r="M48" s="263">
        <v>0.25537543055426098</v>
      </c>
    </row>
    <row r="49" spans="1:13">
      <c r="A49" s="144" t="str">
        <f t="shared" si="0"/>
        <v>SLP-TUM</v>
      </c>
      <c r="B49" s="144" t="str">
        <f t="shared" si="1"/>
        <v>DE_GBH01</v>
      </c>
      <c r="C49" s="259" t="str">
        <f t="shared" si="2"/>
        <v>BH1</v>
      </c>
      <c r="D49" s="253" t="s">
        <v>198</v>
      </c>
      <c r="E49" s="254">
        <v>1.4771785690000001</v>
      </c>
      <c r="F49" s="254">
        <v>-35.083444710000002</v>
      </c>
      <c r="G49" s="254">
        <v>5.412342465</v>
      </c>
      <c r="H49" s="254">
        <v>0.47442640800000002</v>
      </c>
      <c r="I49" s="256">
        <v>40</v>
      </c>
      <c r="J49" s="257">
        <v>0</v>
      </c>
      <c r="K49" s="257">
        <v>0</v>
      </c>
      <c r="L49" s="257">
        <v>0</v>
      </c>
      <c r="M49" s="258">
        <v>0</v>
      </c>
    </row>
    <row r="50" spans="1:13">
      <c r="A50" s="144" t="str">
        <f t="shared" si="0"/>
        <v>SLP-TUM</v>
      </c>
      <c r="B50" s="144" t="str">
        <f t="shared" si="1"/>
        <v>DE_GBH02</v>
      </c>
      <c r="C50" s="259" t="str">
        <f t="shared" si="2"/>
        <v>BH2</v>
      </c>
      <c r="D50" s="253" t="s">
        <v>199</v>
      </c>
      <c r="E50" s="254">
        <v>1.70052794</v>
      </c>
      <c r="F50" s="254">
        <v>-35.15</v>
      </c>
      <c r="G50" s="254">
        <v>6.1632738509999996</v>
      </c>
      <c r="H50" s="254">
        <v>0.42982608500000002</v>
      </c>
      <c r="I50" s="256">
        <v>40</v>
      </c>
      <c r="J50" s="257">
        <v>0</v>
      </c>
      <c r="K50" s="257">
        <v>0</v>
      </c>
      <c r="L50" s="257">
        <v>0</v>
      </c>
      <c r="M50" s="258">
        <v>0</v>
      </c>
    </row>
    <row r="51" spans="1:13">
      <c r="A51" s="144" t="str">
        <f t="shared" si="0"/>
        <v>SLP-TUM</v>
      </c>
      <c r="B51" s="144" t="str">
        <f t="shared" si="1"/>
        <v>DE_GBH03</v>
      </c>
      <c r="C51" s="259" t="str">
        <f t="shared" si="2"/>
        <v>BH3</v>
      </c>
      <c r="D51" s="253" t="s">
        <v>200</v>
      </c>
      <c r="E51" s="254">
        <v>2.0102471730000002</v>
      </c>
      <c r="F51" s="254">
        <v>-35.253212349999998</v>
      </c>
      <c r="G51" s="254">
        <v>6.1544406409999999</v>
      </c>
      <c r="H51" s="254">
        <v>0.32947409700000002</v>
      </c>
      <c r="I51" s="256">
        <v>40</v>
      </c>
      <c r="J51" s="257">
        <v>0</v>
      </c>
      <c r="K51" s="257">
        <v>0</v>
      </c>
      <c r="L51" s="257">
        <v>0</v>
      </c>
      <c r="M51" s="258">
        <v>0</v>
      </c>
    </row>
    <row r="52" spans="1:13">
      <c r="A52" s="144" t="str">
        <f t="shared" si="0"/>
        <v>SLP-TUM</v>
      </c>
      <c r="B52" s="144" t="str">
        <f t="shared" si="1"/>
        <v>DE_GBH04</v>
      </c>
      <c r="C52" s="259" t="str">
        <f t="shared" si="2"/>
        <v>BH4</v>
      </c>
      <c r="D52" s="253" t="s">
        <v>201</v>
      </c>
      <c r="E52" s="254">
        <v>2.4595180609999998</v>
      </c>
      <c r="F52" s="254">
        <v>-35.253212349999998</v>
      </c>
      <c r="G52" s="254">
        <v>6.0587000719999997</v>
      </c>
      <c r="H52" s="254">
        <v>0.164737049</v>
      </c>
      <c r="I52" s="256">
        <v>40</v>
      </c>
      <c r="J52" s="257">
        <v>0</v>
      </c>
      <c r="K52" s="257">
        <v>0</v>
      </c>
      <c r="L52" s="257">
        <v>0</v>
      </c>
      <c r="M52" s="258">
        <v>0</v>
      </c>
    </row>
    <row r="53" spans="1:13">
      <c r="A53" s="144" t="str">
        <f t="shared" si="0"/>
        <v>SLP-TUM</v>
      </c>
      <c r="B53" s="144" t="str">
        <f t="shared" si="1"/>
        <v>DE_GBH05</v>
      </c>
      <c r="C53" s="259" t="str">
        <f t="shared" si="2"/>
        <v>BH5</v>
      </c>
      <c r="D53" s="253" t="s">
        <v>202</v>
      </c>
      <c r="E53" s="254">
        <v>2.98</v>
      </c>
      <c r="F53" s="254">
        <v>-35.799999999999997</v>
      </c>
      <c r="G53" s="254">
        <v>5.6340580620000003</v>
      </c>
      <c r="H53" s="254">
        <v>0</v>
      </c>
      <c r="I53" s="256">
        <v>40</v>
      </c>
      <c r="J53" s="257">
        <v>0</v>
      </c>
      <c r="K53" s="257">
        <v>0</v>
      </c>
      <c r="L53" s="257">
        <v>0</v>
      </c>
      <c r="M53" s="258">
        <v>0</v>
      </c>
    </row>
    <row r="54" spans="1:13">
      <c r="A54" s="144" t="str">
        <f t="shared" si="0"/>
        <v>SLP-FfE</v>
      </c>
      <c r="B54" s="144" t="str">
        <f t="shared" si="1"/>
        <v>DE_GBH33</v>
      </c>
      <c r="C54" s="259" t="str">
        <f t="shared" si="2"/>
        <v>HB3</v>
      </c>
      <c r="D54" s="253" t="s">
        <v>203</v>
      </c>
      <c r="E54" s="260">
        <v>0.98742830199278697</v>
      </c>
      <c r="F54" s="260">
        <v>-35.253212349999998</v>
      </c>
      <c r="G54" s="260">
        <v>6.1544406409999999</v>
      </c>
      <c r="H54" s="260">
        <v>0.226571574644788</v>
      </c>
      <c r="I54" s="261">
        <v>40</v>
      </c>
      <c r="J54" s="262">
        <v>-3.3901972877937302E-2</v>
      </c>
      <c r="K54" s="262">
        <v>0.69382336958448299</v>
      </c>
      <c r="L54" s="262">
        <v>-1.2849007801732501E-3</v>
      </c>
      <c r="M54" s="263">
        <v>0.20297316569454901</v>
      </c>
    </row>
    <row r="55" spans="1:13">
      <c r="A55" s="144" t="str">
        <f t="shared" si="0"/>
        <v>SLP-FfE</v>
      </c>
      <c r="B55" s="144" t="str">
        <f t="shared" si="1"/>
        <v>DE_GBH34</v>
      </c>
      <c r="C55" s="259" t="str">
        <f t="shared" si="2"/>
        <v>HB4</v>
      </c>
      <c r="D55" s="253" t="s">
        <v>204</v>
      </c>
      <c r="E55" s="260">
        <v>0.80275605542124795</v>
      </c>
      <c r="F55" s="260">
        <v>-35.253212349999998</v>
      </c>
      <c r="G55" s="260">
        <v>6.0587000719999997</v>
      </c>
      <c r="H55" s="260">
        <v>6.4521744678650794E-2</v>
      </c>
      <c r="I55" s="261">
        <v>40</v>
      </c>
      <c r="J55" s="262">
        <v>-5.5392539134702198E-2</v>
      </c>
      <c r="K55" s="262">
        <v>1.0917026872526401</v>
      </c>
      <c r="L55" s="262">
        <v>-2.54079840850727E-3</v>
      </c>
      <c r="M55" s="263">
        <v>0.30063135632487697</v>
      </c>
    </row>
    <row r="56" spans="1:13">
      <c r="A56" s="144" t="str">
        <f t="shared" si="0"/>
        <v>SLP-TUM</v>
      </c>
      <c r="B56" s="144" t="str">
        <f t="shared" si="1"/>
        <v>DE_GWA01</v>
      </c>
      <c r="C56" s="259" t="str">
        <f t="shared" si="2"/>
        <v>WA1</v>
      </c>
      <c r="D56" s="253" t="s">
        <v>205</v>
      </c>
      <c r="E56" s="254">
        <v>0.4</v>
      </c>
      <c r="F56" s="254">
        <v>-40.514948179999998</v>
      </c>
      <c r="G56" s="254">
        <v>2.874795695</v>
      </c>
      <c r="H56" s="254">
        <v>0.93510758400000005</v>
      </c>
      <c r="I56" s="256">
        <v>40</v>
      </c>
      <c r="J56" s="257">
        <v>0</v>
      </c>
      <c r="K56" s="257">
        <v>0</v>
      </c>
      <c r="L56" s="257">
        <v>0</v>
      </c>
      <c r="M56" s="258">
        <v>0</v>
      </c>
    </row>
    <row r="57" spans="1:13">
      <c r="A57" s="144" t="str">
        <f t="shared" si="0"/>
        <v>SLP-TUM</v>
      </c>
      <c r="B57" s="144" t="str">
        <f t="shared" si="1"/>
        <v>DE_GWA02</v>
      </c>
      <c r="C57" s="259" t="str">
        <f t="shared" si="2"/>
        <v>WA2</v>
      </c>
      <c r="D57" s="253" t="s">
        <v>206</v>
      </c>
      <c r="E57" s="254">
        <v>0.61662289299999995</v>
      </c>
      <c r="F57" s="254">
        <v>-38.4</v>
      </c>
      <c r="G57" s="254">
        <v>3.8705351889999999</v>
      </c>
      <c r="H57" s="254">
        <v>0.87002503099999995</v>
      </c>
      <c r="I57" s="256">
        <v>40</v>
      </c>
      <c r="J57" s="257">
        <v>0</v>
      </c>
      <c r="K57" s="257">
        <v>0</v>
      </c>
      <c r="L57" s="257">
        <v>0</v>
      </c>
      <c r="M57" s="258">
        <v>0</v>
      </c>
    </row>
    <row r="58" spans="1:13">
      <c r="A58" s="144" t="str">
        <f t="shared" si="0"/>
        <v>SLP-TUM</v>
      </c>
      <c r="B58" s="144" t="str">
        <f t="shared" si="1"/>
        <v>DE_GWA03</v>
      </c>
      <c r="C58" s="259" t="str">
        <f t="shared" si="2"/>
        <v>WA3</v>
      </c>
      <c r="D58" s="253" t="s">
        <v>207</v>
      </c>
      <c r="E58" s="254">
        <v>0.76572901199999999</v>
      </c>
      <c r="F58" s="254">
        <v>-36.023791150000001</v>
      </c>
      <c r="G58" s="254">
        <v>4.8662746830000003</v>
      </c>
      <c r="H58" s="254">
        <v>0.80494247799999996</v>
      </c>
      <c r="I58" s="256">
        <v>40</v>
      </c>
      <c r="J58" s="257">
        <v>0</v>
      </c>
      <c r="K58" s="257">
        <v>0</v>
      </c>
      <c r="L58" s="257">
        <v>0</v>
      </c>
      <c r="M58" s="258">
        <v>0</v>
      </c>
    </row>
    <row r="59" spans="1:13">
      <c r="A59" s="144" t="str">
        <f t="shared" si="0"/>
        <v>SLP-TUM</v>
      </c>
      <c r="B59" s="144" t="str">
        <f t="shared" si="1"/>
        <v>DE_GWA04</v>
      </c>
      <c r="C59" s="259" t="str">
        <f t="shared" si="2"/>
        <v>WA4</v>
      </c>
      <c r="D59" s="253" t="s">
        <v>208</v>
      </c>
      <c r="E59" s="254">
        <v>1.053587472</v>
      </c>
      <c r="F59" s="254">
        <v>-35.299999999999997</v>
      </c>
      <c r="G59" s="254">
        <v>4.8662746830000003</v>
      </c>
      <c r="H59" s="254">
        <v>0.68110423399999998</v>
      </c>
      <c r="I59" s="256">
        <v>40</v>
      </c>
      <c r="J59" s="257">
        <v>0</v>
      </c>
      <c r="K59" s="257">
        <v>0</v>
      </c>
      <c r="L59" s="257">
        <v>0</v>
      </c>
      <c r="M59" s="258">
        <v>0</v>
      </c>
    </row>
    <row r="60" spans="1:13">
      <c r="A60" s="144" t="str">
        <f t="shared" si="0"/>
        <v>SLP-TUM</v>
      </c>
      <c r="B60" s="144" t="str">
        <f t="shared" si="1"/>
        <v>DE_GWA05</v>
      </c>
      <c r="C60" s="259" t="str">
        <f t="shared" si="2"/>
        <v>WA5</v>
      </c>
      <c r="D60" s="253" t="s">
        <v>209</v>
      </c>
      <c r="E60" s="254">
        <v>1.276885373</v>
      </c>
      <c r="F60" s="254">
        <v>-34.342437070000003</v>
      </c>
      <c r="G60" s="254">
        <v>5.4518822419999999</v>
      </c>
      <c r="H60" s="254">
        <v>0.55726598999999999</v>
      </c>
      <c r="I60" s="256">
        <v>40</v>
      </c>
      <c r="J60" s="257">
        <v>0</v>
      </c>
      <c r="K60" s="257">
        <v>0</v>
      </c>
      <c r="L60" s="257">
        <v>0</v>
      </c>
      <c r="M60" s="258">
        <v>0</v>
      </c>
    </row>
    <row r="61" spans="1:13">
      <c r="A61" s="144" t="str">
        <f t="shared" si="0"/>
        <v>SLP-FfE</v>
      </c>
      <c r="B61" s="144" t="str">
        <f t="shared" si="1"/>
        <v>DE_GWA33</v>
      </c>
      <c r="C61" s="259" t="str">
        <f t="shared" si="2"/>
        <v>AW3</v>
      </c>
      <c r="D61" s="253" t="s">
        <v>210</v>
      </c>
      <c r="E61" s="260">
        <v>0.33378383212380802</v>
      </c>
      <c r="F61" s="260">
        <v>-36.023791150000001</v>
      </c>
      <c r="G61" s="260">
        <v>4.8662746830000003</v>
      </c>
      <c r="H61" s="260">
        <v>0.49122795797177399</v>
      </c>
      <c r="I61" s="261">
        <v>40</v>
      </c>
      <c r="J61" s="262">
        <v>-9.2263492839078001E-3</v>
      </c>
      <c r="K61" s="262">
        <v>0.45957571089624999</v>
      </c>
      <c r="L61" s="262">
        <v>-9.6764244989513298E-4</v>
      </c>
      <c r="M61" s="263">
        <v>0.39642907517863601</v>
      </c>
    </row>
    <row r="62" spans="1:13">
      <c r="A62" s="144" t="str">
        <f t="shared" si="0"/>
        <v>SLP-FfE</v>
      </c>
      <c r="B62" s="144" t="str">
        <f t="shared" si="1"/>
        <v>DE_GWA34</v>
      </c>
      <c r="C62" s="259" t="str">
        <f t="shared" si="2"/>
        <v>AW4</v>
      </c>
      <c r="D62" s="253" t="s">
        <v>211</v>
      </c>
      <c r="E62" s="260">
        <v>0.24062326477305401</v>
      </c>
      <c r="F62" s="260">
        <v>-35.299999999999997</v>
      </c>
      <c r="G62" s="260">
        <v>4.8662746830000003</v>
      </c>
      <c r="H62" s="260">
        <v>0.186664548079399</v>
      </c>
      <c r="I62" s="261">
        <v>40</v>
      </c>
      <c r="J62" s="262">
        <v>-1.4241798308652E-2</v>
      </c>
      <c r="K62" s="262">
        <v>0.57500530017156104</v>
      </c>
      <c r="L62" s="262">
        <v>-1.74346424120641E-3</v>
      </c>
      <c r="M62" s="263">
        <v>0.73516860608386403</v>
      </c>
    </row>
    <row r="63" spans="1:13">
      <c r="A63" s="144" t="str">
        <f t="shared" si="0"/>
        <v>SLP-TUM</v>
      </c>
      <c r="B63" s="144" t="str">
        <f t="shared" si="1"/>
        <v>DE_GGB01</v>
      </c>
      <c r="C63" s="259" t="str">
        <f t="shared" si="2"/>
        <v>GB1</v>
      </c>
      <c r="D63" s="253" t="s">
        <v>212</v>
      </c>
      <c r="E63" s="254">
        <v>3.176194476</v>
      </c>
      <c r="F63" s="254">
        <v>-40.836660860000002</v>
      </c>
      <c r="G63" s="254">
        <v>3.6785891739999999</v>
      </c>
      <c r="H63" s="254">
        <v>0.15021557599999999</v>
      </c>
      <c r="I63" s="256">
        <v>40</v>
      </c>
      <c r="J63" s="257">
        <v>0</v>
      </c>
      <c r="K63" s="257">
        <v>0</v>
      </c>
      <c r="L63" s="257">
        <v>0</v>
      </c>
      <c r="M63" s="258">
        <v>0</v>
      </c>
    </row>
    <row r="64" spans="1:13">
      <c r="A64" s="144" t="str">
        <f t="shared" si="0"/>
        <v>SLP-TUM</v>
      </c>
      <c r="B64" s="144" t="str">
        <f t="shared" si="1"/>
        <v>DE_GGB02</v>
      </c>
      <c r="C64" s="259" t="str">
        <f t="shared" si="2"/>
        <v>GB2</v>
      </c>
      <c r="D64" s="253" t="s">
        <v>213</v>
      </c>
      <c r="E64" s="254">
        <v>3.3904645059999998</v>
      </c>
      <c r="F64" s="254">
        <v>-39.287521640000001</v>
      </c>
      <c r="G64" s="254">
        <v>4.4905740459999999</v>
      </c>
      <c r="H64" s="254">
        <v>8.3478316999999996E-2</v>
      </c>
      <c r="I64" s="256">
        <v>40</v>
      </c>
      <c r="J64" s="257">
        <v>0</v>
      </c>
      <c r="K64" s="257">
        <v>0</v>
      </c>
      <c r="L64" s="257">
        <v>0</v>
      </c>
      <c r="M64" s="258">
        <v>0</v>
      </c>
    </row>
    <row r="65" spans="1:13">
      <c r="A65" s="144" t="str">
        <f t="shared" si="0"/>
        <v>SLP-TUM</v>
      </c>
      <c r="B65" s="144" t="str">
        <f t="shared" si="1"/>
        <v>DE_GGB03</v>
      </c>
      <c r="C65" s="259" t="str">
        <f t="shared" si="2"/>
        <v>GB3</v>
      </c>
      <c r="D65" s="253" t="s">
        <v>214</v>
      </c>
      <c r="E65" s="254">
        <v>3.2572742130000001</v>
      </c>
      <c r="F65" s="254">
        <v>-37.5</v>
      </c>
      <c r="G65" s="254">
        <v>6.3462147949999999</v>
      </c>
      <c r="H65" s="254">
        <v>8.6622649999999995E-2</v>
      </c>
      <c r="I65" s="256">
        <v>40</v>
      </c>
      <c r="J65" s="257">
        <v>0</v>
      </c>
      <c r="K65" s="257">
        <v>0</v>
      </c>
      <c r="L65" s="257">
        <v>0</v>
      </c>
      <c r="M65" s="258">
        <v>0</v>
      </c>
    </row>
    <row r="66" spans="1:13">
      <c r="A66" s="144" t="str">
        <f t="shared" si="0"/>
        <v>SLP-TUM</v>
      </c>
      <c r="B66" s="144" t="str">
        <f t="shared" si="1"/>
        <v>DE_GGB04</v>
      </c>
      <c r="C66" s="259" t="str">
        <f t="shared" si="2"/>
        <v>GB4</v>
      </c>
      <c r="D66" s="253" t="s">
        <v>215</v>
      </c>
      <c r="E66" s="254">
        <v>3.601773562</v>
      </c>
      <c r="F66" s="254">
        <v>-37.88253684</v>
      </c>
      <c r="G66" s="254">
        <v>6.9836070289999999</v>
      </c>
      <c r="H66" s="254">
        <v>5.4826185999999999E-2</v>
      </c>
      <c r="I66" s="256">
        <v>40</v>
      </c>
      <c r="J66" s="257">
        <v>0</v>
      </c>
      <c r="K66" s="257">
        <v>0</v>
      </c>
      <c r="L66" s="257">
        <v>0</v>
      </c>
      <c r="M66" s="258">
        <v>0</v>
      </c>
    </row>
    <row r="67" spans="1:13">
      <c r="A67" s="144" t="str">
        <f t="shared" si="0"/>
        <v>SLP-TUM</v>
      </c>
      <c r="B67" s="144" t="str">
        <f t="shared" si="1"/>
        <v>DE_GGB05</v>
      </c>
      <c r="C67" s="259" t="str">
        <f t="shared" si="2"/>
        <v>GB5</v>
      </c>
      <c r="D67" s="253" t="s">
        <v>216</v>
      </c>
      <c r="E67" s="254">
        <v>3.9320532479999999</v>
      </c>
      <c r="F67" s="254">
        <v>-38.143324819999997</v>
      </c>
      <c r="G67" s="254">
        <v>7.6185870979999999</v>
      </c>
      <c r="H67" s="254">
        <v>2.3029722999999998E-2</v>
      </c>
      <c r="I67" s="256">
        <v>40</v>
      </c>
      <c r="J67" s="257">
        <v>0</v>
      </c>
      <c r="K67" s="257">
        <v>0</v>
      </c>
      <c r="L67" s="257">
        <v>0</v>
      </c>
      <c r="M67" s="258">
        <v>0</v>
      </c>
    </row>
    <row r="68" spans="1:13">
      <c r="A68" s="144" t="str">
        <f t="shared" ref="A68:A92" si="3">IF(MID(D68,1,8)="SigLinDe","SLP-FfE","SLP-TUM")</f>
        <v>SLP-FfE</v>
      </c>
      <c r="B68" s="144" t="str">
        <f t="shared" ref="B68:B92" si="4">"DE_"&amp;IF(A68="SLP-TUM",MID(D68,5,4)&amp;RIGHT(D68,1),"")&amp;IF(A68="SLP-FfE",MID(D65,5,3)&amp;"3"&amp;RIGHT(D65,1),"")</f>
        <v>DE_GGB33</v>
      </c>
      <c r="C68" s="259" t="str">
        <f t="shared" ref="C68:C92" si="5">IF(A68="SLP-TUM",LEFT(D68,3),"")&amp;IF(A68="SLP-FfE",MID(D65,2,1)&amp;MID(D65,1,1)&amp;MID(D65,3,1),"")</f>
        <v>BG3</v>
      </c>
      <c r="D68" s="253" t="s">
        <v>217</v>
      </c>
      <c r="E68" s="264">
        <v>1.82137779524266</v>
      </c>
      <c r="F68" s="264">
        <v>-37.5</v>
      </c>
      <c r="G68" s="264">
        <v>6.3462147949999999</v>
      </c>
      <c r="H68" s="264">
        <v>6.7811791498411197E-2</v>
      </c>
      <c r="I68" s="265">
        <v>40</v>
      </c>
      <c r="J68" s="266">
        <v>-6.0766568968526301E-2</v>
      </c>
      <c r="K68" s="266">
        <v>0.93081585658295796</v>
      </c>
      <c r="L68" s="266">
        <v>-1.3966888276177401E-3</v>
      </c>
      <c r="M68" s="267">
        <v>8.5039879949281097E-2</v>
      </c>
    </row>
    <row r="69" spans="1:13">
      <c r="A69" s="144" t="str">
        <f t="shared" si="3"/>
        <v>SLP-FfE</v>
      </c>
      <c r="B69" s="144" t="str">
        <f t="shared" si="4"/>
        <v>DE_GGB34</v>
      </c>
      <c r="C69" s="259" t="str">
        <f t="shared" si="5"/>
        <v>BG4</v>
      </c>
      <c r="D69" s="253" t="s">
        <v>218</v>
      </c>
      <c r="E69" s="264">
        <v>1.30504251171805</v>
      </c>
      <c r="F69" s="264">
        <v>-37.88253684</v>
      </c>
      <c r="G69" s="264">
        <v>6.9836070289999999</v>
      </c>
      <c r="H69" s="264">
        <v>2.3838423683346901E-2</v>
      </c>
      <c r="I69" s="265">
        <v>40</v>
      </c>
      <c r="J69" s="266">
        <v>-9.4170628677895399E-2</v>
      </c>
      <c r="K69" s="266">
        <v>1.42242465833964</v>
      </c>
      <c r="L69" s="266">
        <v>-1.27226205238746E-3</v>
      </c>
      <c r="M69" s="267">
        <v>0.119077005795444</v>
      </c>
    </row>
    <row r="70" spans="1:13">
      <c r="A70" s="144" t="str">
        <f t="shared" si="3"/>
        <v>SLP-TUM</v>
      </c>
      <c r="B70" s="144" t="str">
        <f t="shared" si="4"/>
        <v>DE_GBA01</v>
      </c>
      <c r="C70" s="259" t="str">
        <f t="shared" si="5"/>
        <v>BA1</v>
      </c>
      <c r="D70" s="253" t="s">
        <v>219</v>
      </c>
      <c r="E70" s="254">
        <v>0.15</v>
      </c>
      <c r="F70" s="254">
        <v>-36</v>
      </c>
      <c r="G70" s="254">
        <v>2</v>
      </c>
      <c r="H70" s="254">
        <v>1</v>
      </c>
      <c r="I70" s="256">
        <v>40</v>
      </c>
      <c r="J70" s="257">
        <v>0</v>
      </c>
      <c r="K70" s="257">
        <v>0</v>
      </c>
      <c r="L70" s="257">
        <v>0</v>
      </c>
      <c r="M70" s="258">
        <v>0</v>
      </c>
    </row>
    <row r="71" spans="1:13">
      <c r="A71" s="144" t="str">
        <f t="shared" si="3"/>
        <v>SLP-TUM</v>
      </c>
      <c r="B71" s="144" t="str">
        <f t="shared" si="4"/>
        <v>DE_GBA02</v>
      </c>
      <c r="C71" s="259" t="str">
        <f t="shared" si="5"/>
        <v>BA2</v>
      </c>
      <c r="D71" s="253" t="s">
        <v>220</v>
      </c>
      <c r="E71" s="254">
        <v>0.38791910400000001</v>
      </c>
      <c r="F71" s="254">
        <v>-35.5</v>
      </c>
      <c r="G71" s="254">
        <v>4</v>
      </c>
      <c r="H71" s="254">
        <v>0.90548154300000006</v>
      </c>
      <c r="I71" s="256">
        <v>40</v>
      </c>
      <c r="J71" s="257">
        <v>0</v>
      </c>
      <c r="K71" s="257">
        <v>0</v>
      </c>
      <c r="L71" s="257">
        <v>0</v>
      </c>
      <c r="M71" s="258">
        <v>0</v>
      </c>
    </row>
    <row r="72" spans="1:13">
      <c r="A72" s="144" t="str">
        <f t="shared" si="3"/>
        <v>SLP-TUM</v>
      </c>
      <c r="B72" s="144" t="str">
        <f t="shared" si="4"/>
        <v>DE_GBA03</v>
      </c>
      <c r="C72" s="259" t="str">
        <f t="shared" si="5"/>
        <v>BA3</v>
      </c>
      <c r="D72" s="253" t="s">
        <v>221</v>
      </c>
      <c r="E72" s="254">
        <v>0.62619621599999997</v>
      </c>
      <c r="F72" s="254">
        <v>-33</v>
      </c>
      <c r="G72" s="254">
        <v>5.7212302499999996</v>
      </c>
      <c r="H72" s="254">
        <v>0.78556546000000005</v>
      </c>
      <c r="I72" s="256">
        <v>40</v>
      </c>
      <c r="J72" s="257">
        <v>0</v>
      </c>
      <c r="K72" s="257">
        <v>0</v>
      </c>
      <c r="L72" s="257">
        <v>0</v>
      </c>
      <c r="M72" s="258">
        <v>0</v>
      </c>
    </row>
    <row r="73" spans="1:13">
      <c r="A73" s="144" t="str">
        <f t="shared" si="3"/>
        <v>SLP-TUM</v>
      </c>
      <c r="B73" s="144" t="str">
        <f t="shared" si="4"/>
        <v>DE_GBA04</v>
      </c>
      <c r="C73" s="259" t="str">
        <f t="shared" si="5"/>
        <v>BA4</v>
      </c>
      <c r="D73" s="253" t="s">
        <v>222</v>
      </c>
      <c r="E73" s="254">
        <v>0.93158890100000002</v>
      </c>
      <c r="F73" s="254">
        <v>-33.35</v>
      </c>
      <c r="G73" s="254">
        <v>5.7212302499999996</v>
      </c>
      <c r="H73" s="254">
        <v>0.66564937700000004</v>
      </c>
      <c r="I73" s="256">
        <v>40</v>
      </c>
      <c r="J73" s="257">
        <v>0</v>
      </c>
      <c r="K73" s="257">
        <v>0</v>
      </c>
      <c r="L73" s="257">
        <v>0</v>
      </c>
      <c r="M73" s="258">
        <v>0</v>
      </c>
    </row>
    <row r="74" spans="1:13">
      <c r="A74" s="144" t="str">
        <f t="shared" si="3"/>
        <v>SLP-TUM</v>
      </c>
      <c r="B74" s="144" t="str">
        <f t="shared" si="4"/>
        <v>DE_GBA05</v>
      </c>
      <c r="C74" s="259" t="str">
        <f t="shared" si="5"/>
        <v>BA5</v>
      </c>
      <c r="D74" s="253" t="s">
        <v>223</v>
      </c>
      <c r="E74" s="254">
        <v>1.2779567300000001</v>
      </c>
      <c r="F74" s="254">
        <v>-34.517392000000001</v>
      </c>
      <c r="G74" s="254">
        <v>5.7212302499999996</v>
      </c>
      <c r="H74" s="254">
        <v>0.54573329400000004</v>
      </c>
      <c r="I74" s="256">
        <v>40</v>
      </c>
      <c r="J74" s="257">
        <v>0</v>
      </c>
      <c r="K74" s="257">
        <v>0</v>
      </c>
      <c r="L74" s="257">
        <v>0</v>
      </c>
      <c r="M74" s="258">
        <v>0</v>
      </c>
    </row>
    <row r="75" spans="1:13">
      <c r="A75" s="144" t="str">
        <f t="shared" si="3"/>
        <v>SLP-FfE</v>
      </c>
      <c r="B75" s="144" t="str">
        <f t="shared" si="4"/>
        <v>DE_GBA33</v>
      </c>
      <c r="C75" s="259" t="str">
        <f t="shared" si="5"/>
        <v>AB3</v>
      </c>
      <c r="D75" s="253" t="s">
        <v>224</v>
      </c>
      <c r="E75" s="264">
        <v>0.27700871173110803</v>
      </c>
      <c r="F75" s="264">
        <v>-33</v>
      </c>
      <c r="G75" s="264">
        <v>5.7212302499999996</v>
      </c>
      <c r="H75" s="264">
        <v>0.4865118291885</v>
      </c>
      <c r="I75" s="265">
        <v>40</v>
      </c>
      <c r="J75" s="266">
        <v>-9.4849130944012709E-3</v>
      </c>
      <c r="K75" s="266">
        <v>0.46302369368771501</v>
      </c>
      <c r="L75" s="266">
        <v>-7.1341860056578195E-4</v>
      </c>
      <c r="M75" s="267">
        <v>0.38674466988795903</v>
      </c>
    </row>
    <row r="76" spans="1:13">
      <c r="A76" s="144" t="str">
        <f t="shared" si="3"/>
        <v>SLP-FfE</v>
      </c>
      <c r="B76" s="144" t="str">
        <f t="shared" si="4"/>
        <v>DE_GBA34</v>
      </c>
      <c r="C76" s="259" t="str">
        <f t="shared" si="5"/>
        <v>AB4</v>
      </c>
      <c r="D76" s="253" t="s">
        <v>225</v>
      </c>
      <c r="E76" s="264">
        <v>0.21874527515984199</v>
      </c>
      <c r="F76" s="264">
        <v>-33.35</v>
      </c>
      <c r="G76" s="264">
        <v>5.7212302499999996</v>
      </c>
      <c r="H76" s="264">
        <v>0.18756040048421599</v>
      </c>
      <c r="I76" s="265">
        <v>40</v>
      </c>
      <c r="J76" s="266">
        <v>-1.50993082068377E-2</v>
      </c>
      <c r="K76" s="266">
        <v>0.58904581428757896</v>
      </c>
      <c r="L76" s="266">
        <v>-1.2051664721263501E-3</v>
      </c>
      <c r="M76" s="267">
        <v>0.72557691141526304</v>
      </c>
    </row>
    <row r="77" spans="1:13">
      <c r="A77" s="144" t="str">
        <f t="shared" si="3"/>
        <v>SLP-TUM</v>
      </c>
      <c r="B77" s="144" t="str">
        <f t="shared" si="4"/>
        <v>DE_GPD01</v>
      </c>
      <c r="C77" s="259" t="str">
        <f t="shared" si="5"/>
        <v>PD1</v>
      </c>
      <c r="D77" s="253" t="s">
        <v>226</v>
      </c>
      <c r="E77" s="254">
        <v>1.489402246</v>
      </c>
      <c r="F77" s="254">
        <v>-32.425267750000003</v>
      </c>
      <c r="G77" s="254">
        <v>8.1732612079999996</v>
      </c>
      <c r="H77" s="254">
        <v>0.390598736</v>
      </c>
      <c r="I77" s="256">
        <v>40</v>
      </c>
      <c r="J77" s="257">
        <v>0</v>
      </c>
      <c r="K77" s="257">
        <v>0</v>
      </c>
      <c r="L77" s="257">
        <v>0</v>
      </c>
      <c r="M77" s="258">
        <v>0</v>
      </c>
    </row>
    <row r="78" spans="1:13">
      <c r="A78" s="144" t="str">
        <f t="shared" si="3"/>
        <v>SLP-TUM</v>
      </c>
      <c r="B78" s="144" t="str">
        <f t="shared" si="4"/>
        <v>DE_GPD02</v>
      </c>
      <c r="C78" s="259" t="str">
        <f t="shared" si="5"/>
        <v>PD2</v>
      </c>
      <c r="D78" s="253" t="s">
        <v>227</v>
      </c>
      <c r="E78" s="254">
        <v>2.5784172540000001</v>
      </c>
      <c r="F78" s="254">
        <v>-34.732126100000002</v>
      </c>
      <c r="G78" s="254">
        <v>6.4805035139999996</v>
      </c>
      <c r="H78" s="254">
        <v>0.140772912</v>
      </c>
      <c r="I78" s="256">
        <v>40</v>
      </c>
      <c r="J78" s="257">
        <v>0</v>
      </c>
      <c r="K78" s="257">
        <v>0</v>
      </c>
      <c r="L78" s="257">
        <v>0</v>
      </c>
      <c r="M78" s="258">
        <v>0</v>
      </c>
    </row>
    <row r="79" spans="1:13">
      <c r="A79" s="144" t="str">
        <f t="shared" si="3"/>
        <v>SLP-TUM</v>
      </c>
      <c r="B79" s="144" t="str">
        <f t="shared" si="4"/>
        <v>DE_GPD03</v>
      </c>
      <c r="C79" s="259" t="str">
        <f t="shared" si="5"/>
        <v>PD3</v>
      </c>
      <c r="D79" s="253" t="s">
        <v>228</v>
      </c>
      <c r="E79" s="254">
        <v>3.2</v>
      </c>
      <c r="F79" s="254">
        <v>-35.799999999999997</v>
      </c>
      <c r="G79" s="254">
        <v>8.4</v>
      </c>
      <c r="H79" s="254">
        <v>9.3848608E-2</v>
      </c>
      <c r="I79" s="256">
        <v>40</v>
      </c>
      <c r="J79" s="257">
        <v>0</v>
      </c>
      <c r="K79" s="257">
        <v>0</v>
      </c>
      <c r="L79" s="257">
        <v>0</v>
      </c>
      <c r="M79" s="258">
        <v>0</v>
      </c>
    </row>
    <row r="80" spans="1:13">
      <c r="A80" s="144" t="str">
        <f t="shared" si="3"/>
        <v>SLP-TUM</v>
      </c>
      <c r="B80" s="144" t="str">
        <f t="shared" si="4"/>
        <v>DE_GPD04</v>
      </c>
      <c r="C80" s="259" t="str">
        <f t="shared" si="5"/>
        <v>PD4</v>
      </c>
      <c r="D80" s="253" t="s">
        <v>229</v>
      </c>
      <c r="E80" s="254">
        <v>3.85</v>
      </c>
      <c r="F80" s="254">
        <v>-37</v>
      </c>
      <c r="G80" s="254">
        <v>10.2405021</v>
      </c>
      <c r="H80" s="254">
        <v>4.6924304E-2</v>
      </c>
      <c r="I80" s="256">
        <v>40</v>
      </c>
      <c r="J80" s="257">
        <v>0</v>
      </c>
      <c r="K80" s="257">
        <v>0</v>
      </c>
      <c r="L80" s="257">
        <v>0</v>
      </c>
      <c r="M80" s="258">
        <v>0</v>
      </c>
    </row>
    <row r="81" spans="1:13">
      <c r="A81" s="144" t="str">
        <f t="shared" si="3"/>
        <v>SLP-TUM</v>
      </c>
      <c r="B81" s="144" t="str">
        <f t="shared" si="4"/>
        <v>DE_GPD05</v>
      </c>
      <c r="C81" s="259" t="str">
        <f t="shared" si="5"/>
        <v>PD5</v>
      </c>
      <c r="D81" s="253" t="s">
        <v>230</v>
      </c>
      <c r="E81" s="254">
        <v>4.7462813920000002</v>
      </c>
      <c r="F81" s="254">
        <v>-38.750429390000001</v>
      </c>
      <c r="G81" s="254">
        <v>10.27533341</v>
      </c>
      <c r="H81" s="254">
        <v>0</v>
      </c>
      <c r="I81" s="256">
        <v>40</v>
      </c>
      <c r="J81" s="257">
        <v>0</v>
      </c>
      <c r="K81" s="257">
        <v>0</v>
      </c>
      <c r="L81" s="257">
        <v>0</v>
      </c>
      <c r="M81" s="258">
        <v>0</v>
      </c>
    </row>
    <row r="82" spans="1:13">
      <c r="A82" s="144" t="str">
        <f t="shared" si="3"/>
        <v>SLP-FfE</v>
      </c>
      <c r="B82" s="144" t="str">
        <f t="shared" si="4"/>
        <v>DE_GPD33</v>
      </c>
      <c r="C82" s="259" t="str">
        <f t="shared" si="5"/>
        <v>DP3</v>
      </c>
      <c r="D82" s="253" t="s">
        <v>231</v>
      </c>
      <c r="E82" s="264">
        <v>1.7110739256233101</v>
      </c>
      <c r="F82" s="264">
        <v>-35.799999999999997</v>
      </c>
      <c r="G82" s="264">
        <v>8.4</v>
      </c>
      <c r="H82" s="264">
        <v>7.0254583920868696E-2</v>
      </c>
      <c r="I82" s="265">
        <v>40</v>
      </c>
      <c r="J82" s="266">
        <v>-7.4538113411129703E-2</v>
      </c>
      <c r="K82" s="266">
        <v>1.04630053886108</v>
      </c>
      <c r="L82" s="266">
        <v>-3.6720793281783798E-4</v>
      </c>
      <c r="M82" s="267">
        <v>6.2188226223612801E-2</v>
      </c>
    </row>
    <row r="83" spans="1:13">
      <c r="A83" s="144" t="str">
        <f t="shared" si="3"/>
        <v>SLP-FfE</v>
      </c>
      <c r="B83" s="144" t="str">
        <f t="shared" si="4"/>
        <v>DE_GPD34</v>
      </c>
      <c r="C83" s="259" t="str">
        <f t="shared" si="5"/>
        <v>DP4</v>
      </c>
      <c r="D83" s="253" t="s">
        <v>232</v>
      </c>
      <c r="E83" s="264">
        <v>1.4749741539543499</v>
      </c>
      <c r="F83" s="264">
        <v>-37</v>
      </c>
      <c r="G83" s="264">
        <v>10.2405021</v>
      </c>
      <c r="H83" s="264">
        <v>2.15726136911055E-2</v>
      </c>
      <c r="I83" s="265">
        <v>40</v>
      </c>
      <c r="J83" s="266">
        <v>-0.13303148778398399</v>
      </c>
      <c r="K83" s="266">
        <v>1.7706762963629701</v>
      </c>
      <c r="L83" s="266">
        <v>-1.2124426757926E-4</v>
      </c>
      <c r="M83" s="267">
        <v>8.3036713274579801E-2</v>
      </c>
    </row>
    <row r="84" spans="1:13">
      <c r="A84" s="144" t="str">
        <f t="shared" si="3"/>
        <v>SLP-TUM</v>
      </c>
      <c r="B84" s="144" t="str">
        <f t="shared" si="4"/>
        <v>DE_GMF01</v>
      </c>
      <c r="C84" s="259" t="str">
        <f t="shared" si="5"/>
        <v>MF1</v>
      </c>
      <c r="D84" s="253" t="s">
        <v>233</v>
      </c>
      <c r="E84" s="254">
        <v>2.1163530869999998</v>
      </c>
      <c r="F84" s="254">
        <v>-34.262862310000003</v>
      </c>
      <c r="G84" s="254">
        <v>5.1763874239999996</v>
      </c>
      <c r="H84" s="254">
        <v>0.160694541</v>
      </c>
      <c r="I84" s="256">
        <v>40</v>
      </c>
      <c r="J84" s="257">
        <v>0</v>
      </c>
      <c r="K84" s="257">
        <v>0</v>
      </c>
      <c r="L84" s="257">
        <v>0</v>
      </c>
      <c r="M84" s="258">
        <v>0</v>
      </c>
    </row>
    <row r="85" spans="1:13">
      <c r="A85" s="144" t="str">
        <f t="shared" si="3"/>
        <v>SLP-TUM</v>
      </c>
      <c r="B85" s="144" t="str">
        <f t="shared" si="4"/>
        <v>DE_GMF02</v>
      </c>
      <c r="C85" s="259" t="str">
        <f t="shared" si="5"/>
        <v>MF2</v>
      </c>
      <c r="D85" s="253" t="s">
        <v>234</v>
      </c>
      <c r="E85" s="254">
        <v>2.248633329</v>
      </c>
      <c r="F85" s="254">
        <v>-34.542843070000004</v>
      </c>
      <c r="G85" s="254">
        <v>5.5545244839999999</v>
      </c>
      <c r="H85" s="254">
        <v>0.14082196299999999</v>
      </c>
      <c r="I85" s="256">
        <v>40</v>
      </c>
      <c r="J85" s="257">
        <v>0</v>
      </c>
      <c r="K85" s="257">
        <v>0</v>
      </c>
      <c r="L85" s="257">
        <v>0</v>
      </c>
      <c r="M85" s="258">
        <v>0</v>
      </c>
    </row>
    <row r="86" spans="1:13">
      <c r="A86" s="144" t="str">
        <f t="shared" si="3"/>
        <v>SLP-TUM</v>
      </c>
      <c r="B86" s="144" t="str">
        <f t="shared" si="4"/>
        <v>DE_GMF03</v>
      </c>
      <c r="C86" s="259" t="str">
        <f t="shared" si="5"/>
        <v>MF3</v>
      </c>
      <c r="D86" s="253" t="s">
        <v>235</v>
      </c>
      <c r="E86" s="254">
        <v>2.387761791</v>
      </c>
      <c r="F86" s="254">
        <v>-34.721360509999997</v>
      </c>
      <c r="G86" s="254">
        <v>5.8164304019999999</v>
      </c>
      <c r="H86" s="254">
        <v>0.120819368</v>
      </c>
      <c r="I86" s="256">
        <v>40</v>
      </c>
      <c r="J86" s="257">
        <v>0</v>
      </c>
      <c r="K86" s="257">
        <v>0</v>
      </c>
      <c r="L86" s="257">
        <v>0</v>
      </c>
      <c r="M86" s="258">
        <v>0</v>
      </c>
    </row>
    <row r="87" spans="1:13">
      <c r="A87" s="144" t="str">
        <f t="shared" si="3"/>
        <v>SLP-TUM</v>
      </c>
      <c r="B87" s="144" t="str">
        <f t="shared" si="4"/>
        <v>DE_GMF04</v>
      </c>
      <c r="C87" s="259" t="str">
        <f t="shared" si="5"/>
        <v>MF4</v>
      </c>
      <c r="D87" s="253" t="s">
        <v>236</v>
      </c>
      <c r="E87" s="254">
        <v>2.5187775189999999</v>
      </c>
      <c r="F87" s="254">
        <v>-35.033375419999999</v>
      </c>
      <c r="G87" s="254">
        <v>6.224063396</v>
      </c>
      <c r="H87" s="254">
        <v>0.10107817199999999</v>
      </c>
      <c r="I87" s="256">
        <v>40</v>
      </c>
      <c r="J87" s="257">
        <v>0</v>
      </c>
      <c r="K87" s="257">
        <v>0</v>
      </c>
      <c r="L87" s="257">
        <v>0</v>
      </c>
      <c r="M87" s="258">
        <v>0</v>
      </c>
    </row>
    <row r="88" spans="1:13">
      <c r="A88" s="144" t="str">
        <f t="shared" si="3"/>
        <v>SLP-TUM</v>
      </c>
      <c r="B88" s="144" t="str">
        <f t="shared" si="4"/>
        <v>DE_GMF05</v>
      </c>
      <c r="C88" s="259" t="str">
        <f t="shared" si="5"/>
        <v>MF5</v>
      </c>
      <c r="D88" s="253" t="s">
        <v>237</v>
      </c>
      <c r="E88" s="254">
        <v>2.656440592</v>
      </c>
      <c r="F88" s="254">
        <v>-35.251692669999997</v>
      </c>
      <c r="G88" s="254">
        <v>6.5182658619999998</v>
      </c>
      <c r="H88" s="254">
        <v>8.1205866000000002E-2</v>
      </c>
      <c r="I88" s="256">
        <v>40</v>
      </c>
      <c r="J88" s="257">
        <v>0</v>
      </c>
      <c r="K88" s="257">
        <v>0</v>
      </c>
      <c r="L88" s="257">
        <v>0</v>
      </c>
      <c r="M88" s="258">
        <v>0</v>
      </c>
    </row>
    <row r="89" spans="1:13">
      <c r="A89" s="144" t="str">
        <f t="shared" si="3"/>
        <v>SLP-FfE</v>
      </c>
      <c r="B89" s="144" t="str">
        <f t="shared" si="4"/>
        <v>DE_GMF33</v>
      </c>
      <c r="C89" s="259" t="str">
        <f t="shared" si="5"/>
        <v>FM3</v>
      </c>
      <c r="D89" s="253" t="s">
        <v>238</v>
      </c>
      <c r="E89" s="264">
        <v>1.2328654654123199</v>
      </c>
      <c r="F89" s="264">
        <v>-34.721360509999997</v>
      </c>
      <c r="G89" s="264">
        <v>5.8164304019999999</v>
      </c>
      <c r="H89" s="264">
        <v>8.7335193020600194E-2</v>
      </c>
      <c r="I89" s="265">
        <v>40</v>
      </c>
      <c r="J89" s="266">
        <v>-4.0928399400390697E-2</v>
      </c>
      <c r="K89" s="266">
        <v>0.76729203945074098</v>
      </c>
      <c r="L89" s="266">
        <v>-2.23202741619469E-3</v>
      </c>
      <c r="M89" s="267">
        <v>0.119920720218609</v>
      </c>
    </row>
    <row r="90" spans="1:13">
      <c r="A90" s="144" t="str">
        <f t="shared" si="3"/>
        <v>SLP-FfE</v>
      </c>
      <c r="B90" s="144" t="str">
        <f t="shared" si="4"/>
        <v>DE_GMF34</v>
      </c>
      <c r="C90" s="259" t="str">
        <f t="shared" si="5"/>
        <v>FM4</v>
      </c>
      <c r="D90" s="253" t="s">
        <v>239</v>
      </c>
      <c r="E90" s="264">
        <v>0.84822097350275205</v>
      </c>
      <c r="F90" s="264">
        <v>-35.033375419999999</v>
      </c>
      <c r="G90" s="264">
        <v>6.224063396</v>
      </c>
      <c r="H90" s="264">
        <v>4.0846779744687103E-2</v>
      </c>
      <c r="I90" s="265">
        <v>40</v>
      </c>
      <c r="J90" s="266">
        <v>-5.9839926223733901E-2</v>
      </c>
      <c r="K90" s="266">
        <v>1.1302267329556701</v>
      </c>
      <c r="L90" s="266">
        <v>-2.4758720772617799E-3</v>
      </c>
      <c r="M90" s="267">
        <v>0.21113754033454901</v>
      </c>
    </row>
    <row r="91" spans="1:13">
      <c r="A91" s="144" t="str">
        <f t="shared" si="3"/>
        <v>SLP-TUM</v>
      </c>
      <c r="B91" s="144" t="str">
        <f t="shared" si="4"/>
        <v>DE_GHD03</v>
      </c>
      <c r="C91" s="259" t="str">
        <f t="shared" si="5"/>
        <v>HD3</v>
      </c>
      <c r="D91" s="253" t="s">
        <v>240</v>
      </c>
      <c r="E91" s="254">
        <v>2.579251014</v>
      </c>
      <c r="F91" s="254">
        <v>-35.681614400000001</v>
      </c>
      <c r="G91" s="254">
        <v>6.685797612</v>
      </c>
      <c r="H91" s="254">
        <v>0.19955409900000001</v>
      </c>
      <c r="I91" s="256">
        <v>40</v>
      </c>
      <c r="J91" s="257">
        <v>0</v>
      </c>
      <c r="K91" s="257">
        <v>0</v>
      </c>
      <c r="L91" s="257">
        <v>0</v>
      </c>
      <c r="M91" s="258">
        <v>0</v>
      </c>
    </row>
    <row r="92" spans="1:13">
      <c r="A92" s="144" t="str">
        <f t="shared" si="3"/>
        <v>SLP-TUM</v>
      </c>
      <c r="B92" s="144" t="str">
        <f t="shared" si="4"/>
        <v>DE_GHD04</v>
      </c>
      <c r="C92" s="259" t="str">
        <f t="shared" si="5"/>
        <v>HD4</v>
      </c>
      <c r="D92" s="253" t="s">
        <v>241</v>
      </c>
      <c r="E92" s="254">
        <v>3.0084345560000001</v>
      </c>
      <c r="F92" s="254">
        <v>-36.607845269999999</v>
      </c>
      <c r="G92" s="254">
        <v>7.3211869529999998</v>
      </c>
      <c r="H92" s="254">
        <v>0.154966031</v>
      </c>
      <c r="I92" s="256">
        <v>40</v>
      </c>
      <c r="J92" s="257">
        <v>0</v>
      </c>
      <c r="K92" s="257">
        <v>0</v>
      </c>
      <c r="L92" s="257">
        <v>0</v>
      </c>
      <c r="M92" s="258">
        <v>0</v>
      </c>
    </row>
    <row r="93" spans="1:13">
      <c r="A93" s="144" t="str">
        <f t="shared" ref="A93:A94" si="6">IF(MID(D93,1,8)="SigLinDe","SLP-FfE","SLP-TUM")</f>
        <v>SLP-FfE</v>
      </c>
      <c r="B93" s="144" t="str">
        <f>"DE_"&amp;IF(A93="SLP-TUM",MID(D93,5,4)&amp;RIGHT(D93,1),"")&amp;IF(A93="SLP-FfE",MID(D91,5,3)&amp;"3"&amp;RIGHT(D91,1),"")</f>
        <v>DE_GHD33</v>
      </c>
      <c r="C93" s="259" t="str">
        <f>IF(A93="SLP-TUM",LEFT(D93,3),"")&amp;IF(A93="SLP-FfE",MID(D91,2,1)&amp;MID(D91,1,1)&amp;MID(D91,3,1),"")</f>
        <v>DH3</v>
      </c>
      <c r="D93" s="253" t="s">
        <v>242</v>
      </c>
      <c r="E93" s="254">
        <v>1.3010623280670599</v>
      </c>
      <c r="F93" s="254">
        <v>-35.681614400000001</v>
      </c>
      <c r="G93" s="254">
        <v>6.685797612</v>
      </c>
      <c r="H93" s="254">
        <v>0.14092666704225201</v>
      </c>
      <c r="I93" s="256">
        <v>40</v>
      </c>
      <c r="J93" s="257">
        <v>-4.7342808824630003E-2</v>
      </c>
      <c r="K93" s="257">
        <v>0.81416912533326502</v>
      </c>
      <c r="L93" s="257">
        <v>-1.0600643623825999E-3</v>
      </c>
      <c r="M93" s="258">
        <v>0.132509207320192</v>
      </c>
    </row>
    <row r="94" spans="1:13" ht="15.75" thickBot="1">
      <c r="A94" s="268" t="str">
        <f t="shared" si="6"/>
        <v>SLP-FfE</v>
      </c>
      <c r="B94" s="268" t="str">
        <f>"DE_"&amp;IF(A94="SLP-TUM",MID(D94,5,4)&amp;RIGHT(D94,1),"")&amp;IF(A94="SLP-FfE",MID(D92,5,3)&amp;"3"&amp;RIGHT(D92,1),"")</f>
        <v>DE_GHD34</v>
      </c>
      <c r="C94" s="269" t="str">
        <f>IF(A94="SLP-TUM",LEFT(D94,3),"")&amp;IF(A94="SLP-FfE",MID(D92,2,1)&amp;MID(D92,1,1)&amp;MID(D92,3,1),"")</f>
        <v>DH4</v>
      </c>
      <c r="D94" s="270" t="s">
        <v>243</v>
      </c>
      <c r="E94" s="271">
        <v>1.01331045435784</v>
      </c>
      <c r="F94" s="271">
        <v>-36.607845269999999</v>
      </c>
      <c r="G94" s="271">
        <v>7.3211869529999998</v>
      </c>
      <c r="H94" s="271">
        <v>6.2635379175311104E-2</v>
      </c>
      <c r="I94" s="272">
        <v>40</v>
      </c>
      <c r="J94" s="273">
        <v>-7.6993090887333596E-2</v>
      </c>
      <c r="K94" s="273">
        <v>1.2777683335788199</v>
      </c>
      <c r="L94" s="273">
        <v>-9.6250192529067605E-4</v>
      </c>
      <c r="M94" s="274">
        <v>0.25574574028670299</v>
      </c>
    </row>
    <row r="95" spans="1:13">
      <c r="A95" s="144" t="s">
        <v>252</v>
      </c>
      <c r="B95" s="144" t="s">
        <v>50</v>
      </c>
      <c r="C95" s="144" t="s">
        <v>325</v>
      </c>
      <c r="D95" s="275" t="s">
        <v>280</v>
      </c>
      <c r="E95" s="144">
        <v>3.0217398597999998</v>
      </c>
      <c r="F95" s="144">
        <v>-37.182359950799999</v>
      </c>
      <c r="G95" s="144">
        <v>5.6477169550999999</v>
      </c>
      <c r="H95" s="144">
        <v>0.1152387563712</v>
      </c>
      <c r="I95" s="256">
        <v>40</v>
      </c>
      <c r="J95" s="257">
        <v>0</v>
      </c>
      <c r="K95" s="257">
        <v>0</v>
      </c>
      <c r="L95" s="257">
        <v>0</v>
      </c>
      <c r="M95" s="258">
        <v>0</v>
      </c>
    </row>
    <row r="96" spans="1:13">
      <c r="A96" s="144" t="s">
        <v>252</v>
      </c>
      <c r="B96" s="144" t="s">
        <v>55</v>
      </c>
      <c r="C96" s="144" t="s">
        <v>330</v>
      </c>
      <c r="D96" s="275" t="s">
        <v>280</v>
      </c>
      <c r="E96" s="144">
        <v>3.1592940409999999</v>
      </c>
      <c r="F96" s="144">
        <v>-37.4068859976</v>
      </c>
      <c r="G96" s="144">
        <v>6.1418925604999997</v>
      </c>
      <c r="H96" s="144">
        <v>9.2266110628999989E-2</v>
      </c>
      <c r="I96" s="256">
        <v>40</v>
      </c>
      <c r="J96" s="257">
        <v>0</v>
      </c>
      <c r="K96" s="257">
        <v>0</v>
      </c>
      <c r="L96" s="257">
        <v>0</v>
      </c>
      <c r="M96" s="258">
        <v>0</v>
      </c>
    </row>
    <row r="97" spans="1:13">
      <c r="A97" s="144" t="s">
        <v>252</v>
      </c>
      <c r="B97" s="144" t="s">
        <v>60</v>
      </c>
      <c r="C97" s="144" t="s">
        <v>335</v>
      </c>
      <c r="D97" s="275" t="s">
        <v>280</v>
      </c>
      <c r="E97" s="144">
        <v>2.3548082787000002</v>
      </c>
      <c r="F97" s="144">
        <v>-34.715029850400001</v>
      </c>
      <c r="G97" s="144">
        <v>5.8675639272</v>
      </c>
      <c r="H97" s="144">
        <v>0.15092742664779998</v>
      </c>
      <c r="I97" s="256">
        <v>40</v>
      </c>
      <c r="J97" s="257">
        <v>0</v>
      </c>
      <c r="K97" s="257">
        <v>0</v>
      </c>
      <c r="L97" s="257">
        <v>0</v>
      </c>
      <c r="M97" s="258">
        <v>0</v>
      </c>
    </row>
    <row r="98" spans="1:13">
      <c r="A98" s="144" t="s">
        <v>252</v>
      </c>
      <c r="B98" s="144" t="s">
        <v>65</v>
      </c>
      <c r="C98" s="144" t="s">
        <v>340</v>
      </c>
      <c r="D98" s="275" t="s">
        <v>280</v>
      </c>
      <c r="E98" s="144">
        <v>2.4859160575999999</v>
      </c>
      <c r="F98" s="144">
        <v>-35.043597772699997</v>
      </c>
      <c r="G98" s="144">
        <v>6.2818214214000001</v>
      </c>
      <c r="H98" s="144">
        <v>0.12839042175739998</v>
      </c>
      <c r="I98" s="256">
        <v>40</v>
      </c>
      <c r="J98" s="257">
        <v>0</v>
      </c>
      <c r="K98" s="257">
        <v>0</v>
      </c>
      <c r="L98" s="257">
        <v>0</v>
      </c>
      <c r="M98" s="258">
        <v>0</v>
      </c>
    </row>
    <row r="99" spans="1:13">
      <c r="A99" s="144" t="s">
        <v>252</v>
      </c>
      <c r="B99" s="144" t="s">
        <v>18</v>
      </c>
      <c r="C99" s="144" t="s">
        <v>293</v>
      </c>
      <c r="D99" s="275" t="s">
        <v>280</v>
      </c>
      <c r="E99" s="144">
        <v>3.0553842454</v>
      </c>
      <c r="F99" s="144">
        <v>-37.183637422300002</v>
      </c>
      <c r="G99" s="144">
        <v>5.6810824598999998</v>
      </c>
      <c r="H99" s="144">
        <v>0.10016998486249999</v>
      </c>
      <c r="I99" s="256">
        <v>40</v>
      </c>
      <c r="J99" s="257">
        <v>0</v>
      </c>
      <c r="K99" s="257">
        <v>0</v>
      </c>
      <c r="L99" s="257">
        <v>0</v>
      </c>
      <c r="M99" s="258">
        <v>0</v>
      </c>
    </row>
    <row r="100" spans="1:13">
      <c r="A100" s="144" t="s">
        <v>252</v>
      </c>
      <c r="B100" s="144" t="s">
        <v>22</v>
      </c>
      <c r="C100" s="144" t="s">
        <v>297</v>
      </c>
      <c r="D100" s="275" t="s">
        <v>280</v>
      </c>
      <c r="E100" s="144">
        <v>3.1935978110000001</v>
      </c>
      <c r="F100" s="144">
        <v>-37.414247826900002</v>
      </c>
      <c r="G100" s="144">
        <v>6.1824021474000004</v>
      </c>
      <c r="H100" s="144">
        <v>7.8921271362500003E-2</v>
      </c>
      <c r="I100" s="256">
        <v>40</v>
      </c>
      <c r="J100" s="257">
        <v>0</v>
      </c>
      <c r="K100" s="257">
        <v>0</v>
      </c>
      <c r="L100" s="257">
        <v>0</v>
      </c>
      <c r="M100" s="258">
        <v>0</v>
      </c>
    </row>
    <row r="101" spans="1:13">
      <c r="A101" s="144" t="s">
        <v>252</v>
      </c>
      <c r="B101" s="144" t="s">
        <v>26</v>
      </c>
      <c r="C101" s="144" t="s">
        <v>301</v>
      </c>
      <c r="D101" s="275" t="s">
        <v>280</v>
      </c>
      <c r="E101" s="144">
        <v>2.3987552319000001</v>
      </c>
      <c r="F101" s="144">
        <v>-34.723487774500001</v>
      </c>
      <c r="G101" s="144">
        <v>5.7996446390000003</v>
      </c>
      <c r="H101" s="144">
        <v>0.12390732033749999</v>
      </c>
      <c r="I101" s="256">
        <v>40</v>
      </c>
      <c r="J101" s="257">
        <v>0</v>
      </c>
      <c r="K101" s="257">
        <v>0</v>
      </c>
      <c r="L101" s="257">
        <v>0</v>
      </c>
      <c r="M101" s="258">
        <v>0</v>
      </c>
    </row>
    <row r="102" spans="1:13">
      <c r="A102" s="144" t="s">
        <v>252</v>
      </c>
      <c r="B102" s="144" t="s">
        <v>30</v>
      </c>
      <c r="C102" s="144" t="s">
        <v>305</v>
      </c>
      <c r="D102" s="275" t="s">
        <v>280</v>
      </c>
      <c r="E102" s="144">
        <v>2.5297380184999998</v>
      </c>
      <c r="F102" s="144">
        <v>-35.030014509799997</v>
      </c>
      <c r="G102" s="144">
        <v>6.2051108885000001</v>
      </c>
      <c r="H102" s="144">
        <v>0.10300644025</v>
      </c>
      <c r="I102" s="256">
        <v>40</v>
      </c>
      <c r="J102" s="257">
        <v>0</v>
      </c>
      <c r="K102" s="257">
        <v>0</v>
      </c>
      <c r="L102" s="257">
        <v>0</v>
      </c>
      <c r="M102" s="258">
        <v>0</v>
      </c>
    </row>
    <row r="103" spans="1:13">
      <c r="A103" s="144" t="s">
        <v>252</v>
      </c>
      <c r="B103" s="144" t="s">
        <v>34</v>
      </c>
      <c r="C103" s="144" t="s">
        <v>309</v>
      </c>
      <c r="D103" s="275" t="s">
        <v>280</v>
      </c>
      <c r="E103" s="144">
        <v>3.0385546748999999</v>
      </c>
      <c r="F103" s="144">
        <v>-37.182990840800002</v>
      </c>
      <c r="G103" s="144">
        <v>5.6644868649999998</v>
      </c>
      <c r="H103" s="144">
        <v>9.5584450725400005E-2</v>
      </c>
      <c r="I103" s="256">
        <v>40</v>
      </c>
      <c r="J103" s="257">
        <v>0</v>
      </c>
      <c r="K103" s="257">
        <v>0</v>
      </c>
      <c r="L103" s="257">
        <v>0</v>
      </c>
      <c r="M103" s="258">
        <v>0</v>
      </c>
    </row>
    <row r="104" spans="1:13">
      <c r="A104" s="144" t="s">
        <v>252</v>
      </c>
      <c r="B104" s="144" t="s">
        <v>38</v>
      </c>
      <c r="C104" s="144" t="s">
        <v>313</v>
      </c>
      <c r="D104" s="275" t="s">
        <v>280</v>
      </c>
      <c r="E104" s="144">
        <v>3.1764404493999998</v>
      </c>
      <c r="F104" s="144">
        <v>-37.410583151700003</v>
      </c>
      <c r="G104" s="144">
        <v>6.1622335977000002</v>
      </c>
      <c r="H104" s="144">
        <v>7.5937720365800002E-2</v>
      </c>
      <c r="I104" s="256">
        <v>40</v>
      </c>
      <c r="J104" s="257">
        <v>0</v>
      </c>
      <c r="K104" s="257">
        <v>0</v>
      </c>
      <c r="L104" s="257">
        <v>0</v>
      </c>
      <c r="M104" s="258">
        <v>0</v>
      </c>
    </row>
    <row r="105" spans="1:13">
      <c r="A105" s="144" t="s">
        <v>252</v>
      </c>
      <c r="B105" s="144" t="s">
        <v>42</v>
      </c>
      <c r="C105" s="144" t="s">
        <v>317</v>
      </c>
      <c r="D105" s="275" t="s">
        <v>280</v>
      </c>
      <c r="E105" s="144">
        <v>2.3767683503999999</v>
      </c>
      <c r="F105" s="144">
        <v>-34.719233251299997</v>
      </c>
      <c r="G105" s="144">
        <v>5.8332161640000004</v>
      </c>
      <c r="H105" s="144">
        <v>0.12181819977010001</v>
      </c>
      <c r="I105" s="256">
        <v>40</v>
      </c>
      <c r="J105" s="257">
        <v>0</v>
      </c>
      <c r="K105" s="257">
        <v>0</v>
      </c>
      <c r="L105" s="257">
        <v>0</v>
      </c>
      <c r="M105" s="258">
        <v>0</v>
      </c>
    </row>
    <row r="106" spans="1:13">
      <c r="A106" s="144" t="s">
        <v>252</v>
      </c>
      <c r="B106" s="144" t="s">
        <v>46</v>
      </c>
      <c r="C106" s="144" t="s">
        <v>321</v>
      </c>
      <c r="D106" s="275" t="s">
        <v>280</v>
      </c>
      <c r="E106" s="144">
        <v>2.5078170188</v>
      </c>
      <c r="F106" s="144">
        <v>-35.036736334399997</v>
      </c>
      <c r="G106" s="144">
        <v>6.2430159032999999</v>
      </c>
      <c r="H106" s="144">
        <v>0.1025195150444</v>
      </c>
      <c r="I106" s="256">
        <v>40</v>
      </c>
      <c r="J106" s="257">
        <v>0</v>
      </c>
      <c r="K106" s="257">
        <v>0</v>
      </c>
      <c r="L106" s="257">
        <v>0</v>
      </c>
      <c r="M106" s="258">
        <v>0</v>
      </c>
    </row>
    <row r="107" spans="1:13">
      <c r="A107" s="144" t="s">
        <v>252</v>
      </c>
      <c r="B107" s="144" t="s">
        <v>51</v>
      </c>
      <c r="C107" s="144" t="s">
        <v>326</v>
      </c>
      <c r="D107" s="275" t="s">
        <v>280</v>
      </c>
      <c r="E107" s="144">
        <v>3.0217398597999998</v>
      </c>
      <c r="F107" s="144">
        <v>-37.182359950799999</v>
      </c>
      <c r="G107" s="144">
        <v>5.6477169550999999</v>
      </c>
      <c r="H107" s="144">
        <v>9.5626240752000005E-2</v>
      </c>
      <c r="I107" s="256">
        <v>40</v>
      </c>
      <c r="J107" s="257">
        <v>0</v>
      </c>
      <c r="K107" s="257">
        <v>0</v>
      </c>
      <c r="L107" s="257">
        <v>0</v>
      </c>
      <c r="M107" s="258">
        <v>0</v>
      </c>
    </row>
    <row r="108" spans="1:13">
      <c r="A108" s="144" t="s">
        <v>252</v>
      </c>
      <c r="B108" s="144" t="s">
        <v>56</v>
      </c>
      <c r="C108" s="144" t="s">
        <v>331</v>
      </c>
      <c r="D108" s="275" t="s">
        <v>280</v>
      </c>
      <c r="E108" s="144">
        <v>3.1592940409999999</v>
      </c>
      <c r="F108" s="144">
        <v>-37.4068859976</v>
      </c>
      <c r="G108" s="144">
        <v>6.1418925604999997</v>
      </c>
      <c r="H108" s="144">
        <v>7.6563315902499998E-2</v>
      </c>
      <c r="I108" s="256">
        <v>40</v>
      </c>
      <c r="J108" s="257">
        <v>0</v>
      </c>
      <c r="K108" s="257">
        <v>0</v>
      </c>
      <c r="L108" s="257">
        <v>0</v>
      </c>
      <c r="M108" s="258">
        <v>0</v>
      </c>
    </row>
    <row r="109" spans="1:13">
      <c r="A109" s="144" t="s">
        <v>252</v>
      </c>
      <c r="B109" s="144" t="s">
        <v>61</v>
      </c>
      <c r="C109" s="144" t="s">
        <v>336</v>
      </c>
      <c r="D109" s="275" t="s">
        <v>280</v>
      </c>
      <c r="E109" s="144">
        <v>2.3548082787000002</v>
      </c>
      <c r="F109" s="144">
        <v>-34.715029850400001</v>
      </c>
      <c r="G109" s="144">
        <v>5.8675639272</v>
      </c>
      <c r="H109" s="144">
        <v>0.12524104642549999</v>
      </c>
      <c r="I109" s="256">
        <v>40</v>
      </c>
      <c r="J109" s="257">
        <v>0</v>
      </c>
      <c r="K109" s="257">
        <v>0</v>
      </c>
      <c r="L109" s="257">
        <v>0</v>
      </c>
      <c r="M109" s="258">
        <v>0</v>
      </c>
    </row>
    <row r="110" spans="1:13">
      <c r="A110" s="144" t="s">
        <v>252</v>
      </c>
      <c r="B110" s="144" t="s">
        <v>66</v>
      </c>
      <c r="C110" s="144" t="s">
        <v>341</v>
      </c>
      <c r="D110" s="275" t="s">
        <v>280</v>
      </c>
      <c r="E110" s="144">
        <v>2.4859160575999999</v>
      </c>
      <c r="F110" s="144">
        <v>-35.043597772699997</v>
      </c>
      <c r="G110" s="144">
        <v>6.2818214214000001</v>
      </c>
      <c r="H110" s="144">
        <v>0.1065396205915</v>
      </c>
      <c r="I110" s="256">
        <v>40</v>
      </c>
      <c r="J110" s="257">
        <v>0</v>
      </c>
      <c r="K110" s="257">
        <v>0</v>
      </c>
      <c r="L110" s="257">
        <v>0</v>
      </c>
      <c r="M110" s="258">
        <v>0</v>
      </c>
    </row>
    <row r="111" spans="1:13">
      <c r="A111" s="144" t="s">
        <v>252</v>
      </c>
      <c r="B111" s="144" t="s">
        <v>6</v>
      </c>
      <c r="C111" s="144" t="s">
        <v>281</v>
      </c>
      <c r="D111" s="275" t="s">
        <v>280</v>
      </c>
      <c r="E111" s="144">
        <v>3.0890720564</v>
      </c>
      <c r="F111" s="144">
        <v>-37.184949682000003</v>
      </c>
      <c r="G111" s="144">
        <v>5.7137959130000002</v>
      </c>
      <c r="H111" s="144">
        <v>8.1525544629600002E-2</v>
      </c>
      <c r="I111" s="256">
        <v>40</v>
      </c>
      <c r="J111" s="257">
        <v>0</v>
      </c>
      <c r="K111" s="257">
        <v>0</v>
      </c>
      <c r="L111" s="257">
        <v>0</v>
      </c>
      <c r="M111" s="258">
        <v>0</v>
      </c>
    </row>
    <row r="112" spans="1:13">
      <c r="A112" s="144" t="s">
        <v>252</v>
      </c>
      <c r="B112" s="144" t="s">
        <v>7</v>
      </c>
      <c r="C112" s="144" t="s">
        <v>282</v>
      </c>
      <c r="D112" s="275" t="s">
        <v>280</v>
      </c>
      <c r="E112" s="144">
        <v>3.2279445929000001</v>
      </c>
      <c r="F112" s="144">
        <v>-37.4214799891</v>
      </c>
      <c r="G112" s="144">
        <v>6.2222288165000004</v>
      </c>
      <c r="H112" s="144">
        <v>6.3044340009600006E-2</v>
      </c>
      <c r="I112" s="256">
        <v>40</v>
      </c>
      <c r="J112" s="257">
        <v>0</v>
      </c>
      <c r="K112" s="257">
        <v>0</v>
      </c>
      <c r="L112" s="257">
        <v>0</v>
      </c>
      <c r="M112" s="258">
        <v>0</v>
      </c>
    </row>
    <row r="113" spans="1:13">
      <c r="A113" s="144" t="s">
        <v>252</v>
      </c>
      <c r="B113" s="144" t="s">
        <v>8</v>
      </c>
      <c r="C113" s="144" t="s">
        <v>283</v>
      </c>
      <c r="D113" s="275" t="s">
        <v>280</v>
      </c>
      <c r="E113" s="144">
        <v>2.4428072126</v>
      </c>
      <c r="F113" s="144">
        <v>-34.732143756500001</v>
      </c>
      <c r="G113" s="144">
        <v>5.7347347252</v>
      </c>
      <c r="H113" s="144">
        <v>9.4097006726700003E-2</v>
      </c>
      <c r="I113" s="256">
        <v>40</v>
      </c>
      <c r="J113" s="257">
        <v>0</v>
      </c>
      <c r="K113" s="257">
        <v>0</v>
      </c>
      <c r="L113" s="257">
        <v>0</v>
      </c>
      <c r="M113" s="258">
        <v>0</v>
      </c>
    </row>
    <row r="114" spans="1:13">
      <c r="A114" s="144" t="s">
        <v>252</v>
      </c>
      <c r="B114" s="144" t="s">
        <v>9</v>
      </c>
      <c r="C114" s="144" t="s">
        <v>284</v>
      </c>
      <c r="D114" s="275" t="s">
        <v>280</v>
      </c>
      <c r="E114" s="144">
        <v>2.5736652121999999</v>
      </c>
      <c r="F114" s="144">
        <v>-35.016944175900001</v>
      </c>
      <c r="G114" s="144">
        <v>6.1318139781000003</v>
      </c>
      <c r="H114" s="144">
        <v>7.58603548598E-2</v>
      </c>
      <c r="I114" s="256">
        <v>40</v>
      </c>
      <c r="J114" s="257">
        <v>0</v>
      </c>
      <c r="K114" s="257">
        <v>0</v>
      </c>
      <c r="L114" s="257">
        <v>0</v>
      </c>
      <c r="M114" s="258">
        <v>0</v>
      </c>
    </row>
    <row r="115" spans="1:13">
      <c r="A115" s="144" t="s">
        <v>252</v>
      </c>
      <c r="B115" s="144" t="s">
        <v>19</v>
      </c>
      <c r="C115" s="144" t="s">
        <v>294</v>
      </c>
      <c r="D115" s="275" t="s">
        <v>280</v>
      </c>
      <c r="E115" s="144">
        <v>3.0553842454</v>
      </c>
      <c r="F115" s="144">
        <v>-37.183637422300002</v>
      </c>
      <c r="G115" s="144">
        <v>5.6810824598999998</v>
      </c>
      <c r="H115" s="144">
        <v>9.5018385640999986E-2</v>
      </c>
      <c r="I115" s="256">
        <v>40</v>
      </c>
      <c r="J115" s="257">
        <v>0</v>
      </c>
      <c r="K115" s="257">
        <v>0</v>
      </c>
      <c r="L115" s="257">
        <v>0</v>
      </c>
      <c r="M115" s="258">
        <v>0</v>
      </c>
    </row>
    <row r="116" spans="1:13">
      <c r="A116" s="144" t="s">
        <v>252</v>
      </c>
      <c r="B116" s="144" t="s">
        <v>23</v>
      </c>
      <c r="C116" s="144" t="s">
        <v>298</v>
      </c>
      <c r="D116" s="275" t="s">
        <v>280</v>
      </c>
      <c r="E116" s="144">
        <v>3.1935978110000001</v>
      </c>
      <c r="F116" s="144">
        <v>-37.414247826900002</v>
      </c>
      <c r="G116" s="144">
        <v>6.1824021474000004</v>
      </c>
      <c r="H116" s="144">
        <v>7.4862463120999992E-2</v>
      </c>
      <c r="I116" s="256">
        <v>40</v>
      </c>
      <c r="J116" s="257">
        <v>0</v>
      </c>
      <c r="K116" s="257">
        <v>0</v>
      </c>
      <c r="L116" s="257">
        <v>0</v>
      </c>
      <c r="M116" s="258">
        <v>0</v>
      </c>
    </row>
    <row r="117" spans="1:13">
      <c r="A117" s="144" t="s">
        <v>252</v>
      </c>
      <c r="B117" s="144" t="s">
        <v>27</v>
      </c>
      <c r="C117" s="144" t="s">
        <v>302</v>
      </c>
      <c r="D117" s="275" t="s">
        <v>280</v>
      </c>
      <c r="E117" s="144">
        <v>2.3987552319000001</v>
      </c>
      <c r="F117" s="144">
        <v>-34.723487774500001</v>
      </c>
      <c r="G117" s="144">
        <v>5.7996446390000003</v>
      </c>
      <c r="H117" s="144">
        <v>0.11753494386299999</v>
      </c>
      <c r="I117" s="256">
        <v>40</v>
      </c>
      <c r="J117" s="257">
        <v>0</v>
      </c>
      <c r="K117" s="257">
        <v>0</v>
      </c>
      <c r="L117" s="257">
        <v>0</v>
      </c>
      <c r="M117" s="258">
        <v>0</v>
      </c>
    </row>
    <row r="118" spans="1:13">
      <c r="A118" s="144" t="s">
        <v>252</v>
      </c>
      <c r="B118" s="144" t="s">
        <v>31</v>
      </c>
      <c r="C118" s="144" t="s">
        <v>306</v>
      </c>
      <c r="D118" s="275" t="s">
        <v>280</v>
      </c>
      <c r="E118" s="144">
        <v>2.5297380184999998</v>
      </c>
      <c r="F118" s="144">
        <v>-35.030014509799997</v>
      </c>
      <c r="G118" s="144">
        <v>6.2051108885000001</v>
      </c>
      <c r="H118" s="144">
        <v>9.7708966179999995E-2</v>
      </c>
      <c r="I118" s="256">
        <v>40</v>
      </c>
      <c r="J118" s="257">
        <v>0</v>
      </c>
      <c r="K118" s="257">
        <v>0</v>
      </c>
      <c r="L118" s="257">
        <v>0</v>
      </c>
      <c r="M118" s="258">
        <v>0</v>
      </c>
    </row>
    <row r="119" spans="1:13">
      <c r="A119" s="144" t="s">
        <v>252</v>
      </c>
      <c r="B119" s="144" t="s">
        <v>10</v>
      </c>
      <c r="C119" s="144" t="s">
        <v>285</v>
      </c>
      <c r="D119" s="275" t="s">
        <v>280</v>
      </c>
      <c r="E119" s="144">
        <v>3.0722214501999998</v>
      </c>
      <c r="F119" s="144">
        <v>-37.184284425999998</v>
      </c>
      <c r="G119" s="144">
        <v>5.6975233565999996</v>
      </c>
      <c r="H119" s="144">
        <v>9.0418848926399994E-2</v>
      </c>
      <c r="I119" s="256">
        <v>40</v>
      </c>
      <c r="J119" s="257">
        <v>0</v>
      </c>
      <c r="K119" s="257">
        <v>0</v>
      </c>
      <c r="L119" s="257">
        <v>0</v>
      </c>
      <c r="M119" s="258">
        <v>0</v>
      </c>
    </row>
    <row r="120" spans="1:13">
      <c r="A120" s="144" t="s">
        <v>252</v>
      </c>
      <c r="B120" s="144" t="s">
        <v>12</v>
      </c>
      <c r="C120" s="144" t="s">
        <v>287</v>
      </c>
      <c r="D120" s="275" t="s">
        <v>280</v>
      </c>
      <c r="E120" s="144">
        <v>3.2107659244</v>
      </c>
      <c r="F120" s="144">
        <v>-37.417880080300002</v>
      </c>
      <c r="G120" s="144">
        <v>6.2023999708000002</v>
      </c>
      <c r="H120" s="144">
        <v>7.0601700753600005E-2</v>
      </c>
      <c r="I120" s="256">
        <v>40</v>
      </c>
      <c r="J120" s="257">
        <v>0</v>
      </c>
      <c r="K120" s="257">
        <v>0</v>
      </c>
      <c r="L120" s="257">
        <v>0</v>
      </c>
      <c r="M120" s="258">
        <v>0</v>
      </c>
    </row>
    <row r="121" spans="1:13">
      <c r="A121" s="144" t="s">
        <v>252</v>
      </c>
      <c r="B121" s="144" t="s">
        <v>14</v>
      </c>
      <c r="C121" s="144" t="s">
        <v>289</v>
      </c>
      <c r="D121" s="275" t="s">
        <v>280</v>
      </c>
      <c r="E121" s="144">
        <v>2.4207683707999998</v>
      </c>
      <c r="F121" s="144">
        <v>-34.727791725099998</v>
      </c>
      <c r="G121" s="144">
        <v>5.7668252224999996</v>
      </c>
      <c r="H121" s="144">
        <v>0.1082275311744</v>
      </c>
      <c r="I121" s="256">
        <v>40</v>
      </c>
      <c r="J121" s="257">
        <v>0</v>
      </c>
      <c r="K121" s="257">
        <v>0</v>
      </c>
      <c r="L121" s="257">
        <v>0</v>
      </c>
      <c r="M121" s="258">
        <v>0</v>
      </c>
    </row>
    <row r="122" spans="1:13">
      <c r="A122" s="144" t="s">
        <v>252</v>
      </c>
      <c r="B122" s="144" t="s">
        <v>16</v>
      </c>
      <c r="C122" s="144" t="s">
        <v>291</v>
      </c>
      <c r="D122" s="275" t="s">
        <v>280</v>
      </c>
      <c r="E122" s="144">
        <v>2.5516882275000001</v>
      </c>
      <c r="F122" s="144">
        <v>-35.023421941899997</v>
      </c>
      <c r="G122" s="144">
        <v>6.1680699420999998</v>
      </c>
      <c r="H122" s="144">
        <v>8.8705762435199995E-2</v>
      </c>
      <c r="I122" s="256">
        <v>40</v>
      </c>
      <c r="J122" s="257">
        <v>0</v>
      </c>
      <c r="K122" s="257">
        <v>0</v>
      </c>
      <c r="L122" s="257">
        <v>0</v>
      </c>
      <c r="M122" s="258">
        <v>0</v>
      </c>
    </row>
    <row r="123" spans="1:13">
      <c r="A123" s="144" t="s">
        <v>252</v>
      </c>
      <c r="B123" s="144" t="s">
        <v>52</v>
      </c>
      <c r="C123" s="144" t="s">
        <v>327</v>
      </c>
      <c r="D123" s="275" t="s">
        <v>280</v>
      </c>
      <c r="E123" s="144">
        <v>3.0217398597999998</v>
      </c>
      <c r="F123" s="144">
        <v>-37.182359950799999</v>
      </c>
      <c r="G123" s="144">
        <v>5.6477169550999999</v>
      </c>
      <c r="H123" s="144">
        <v>0.115116939504</v>
      </c>
      <c r="I123" s="256">
        <v>40</v>
      </c>
      <c r="J123" s="257">
        <v>0</v>
      </c>
      <c r="K123" s="257">
        <v>0</v>
      </c>
      <c r="L123" s="257">
        <v>0</v>
      </c>
      <c r="M123" s="258">
        <v>0</v>
      </c>
    </row>
    <row r="124" spans="1:13">
      <c r="A124" s="144" t="s">
        <v>252</v>
      </c>
      <c r="B124" s="144" t="s">
        <v>57</v>
      </c>
      <c r="C124" s="144" t="s">
        <v>332</v>
      </c>
      <c r="D124" s="275" t="s">
        <v>280</v>
      </c>
      <c r="E124" s="144">
        <v>3.1592940409999999</v>
      </c>
      <c r="F124" s="144">
        <v>-37.4068859976</v>
      </c>
      <c r="G124" s="144">
        <v>6.1418925604999997</v>
      </c>
      <c r="H124" s="144">
        <v>9.2168577742499994E-2</v>
      </c>
      <c r="I124" s="256">
        <v>40</v>
      </c>
      <c r="J124" s="257">
        <v>0</v>
      </c>
      <c r="K124" s="257">
        <v>0</v>
      </c>
      <c r="L124" s="257">
        <v>0</v>
      </c>
      <c r="M124" s="258">
        <v>0</v>
      </c>
    </row>
    <row r="125" spans="1:13">
      <c r="A125" s="144" t="s">
        <v>252</v>
      </c>
      <c r="B125" s="144" t="s">
        <v>62</v>
      </c>
      <c r="C125" s="144" t="s">
        <v>337</v>
      </c>
      <c r="D125" s="275" t="s">
        <v>280</v>
      </c>
      <c r="E125" s="144">
        <v>2.3548082787000002</v>
      </c>
      <c r="F125" s="144">
        <v>-34.715029850400001</v>
      </c>
      <c r="G125" s="144">
        <v>5.8675639272</v>
      </c>
      <c r="H125" s="144">
        <v>0.15076788391349999</v>
      </c>
      <c r="I125" s="256">
        <v>40</v>
      </c>
      <c r="J125" s="257">
        <v>0</v>
      </c>
      <c r="K125" s="257">
        <v>0</v>
      </c>
      <c r="L125" s="257">
        <v>0</v>
      </c>
      <c r="M125" s="258">
        <v>0</v>
      </c>
    </row>
    <row r="126" spans="1:13">
      <c r="A126" s="144" t="s">
        <v>252</v>
      </c>
      <c r="B126" s="144" t="s">
        <v>67</v>
      </c>
      <c r="C126" s="144" t="s">
        <v>342</v>
      </c>
      <c r="D126" s="275" t="s">
        <v>280</v>
      </c>
      <c r="E126" s="144">
        <v>2.4859160575999999</v>
      </c>
      <c r="F126" s="144">
        <v>-35.043597772699997</v>
      </c>
      <c r="G126" s="144">
        <v>6.2818214214000001</v>
      </c>
      <c r="H126" s="144">
        <v>0.1282547024955</v>
      </c>
      <c r="I126" s="256">
        <v>40</v>
      </c>
      <c r="J126" s="257">
        <v>0</v>
      </c>
      <c r="K126" s="257">
        <v>0</v>
      </c>
      <c r="L126" s="257">
        <v>0</v>
      </c>
      <c r="M126" s="258">
        <v>0</v>
      </c>
    </row>
    <row r="127" spans="1:13">
      <c r="A127" s="144" t="s">
        <v>252</v>
      </c>
      <c r="B127" s="144" t="s">
        <v>20</v>
      </c>
      <c r="C127" s="144" t="s">
        <v>295</v>
      </c>
      <c r="D127" s="275" t="s">
        <v>280</v>
      </c>
      <c r="E127" s="144">
        <v>3.0553842454</v>
      </c>
      <c r="F127" s="144">
        <v>-37.183637422300002</v>
      </c>
      <c r="G127" s="144">
        <v>5.6810824598999998</v>
      </c>
      <c r="H127" s="144">
        <v>0.1029175044473</v>
      </c>
      <c r="I127" s="256">
        <v>40</v>
      </c>
      <c r="J127" s="257">
        <v>0</v>
      </c>
      <c r="K127" s="257">
        <v>0</v>
      </c>
      <c r="L127" s="257">
        <v>0</v>
      </c>
      <c r="M127" s="258">
        <v>0</v>
      </c>
    </row>
    <row r="128" spans="1:13">
      <c r="A128" s="144" t="s">
        <v>252</v>
      </c>
      <c r="B128" s="144" t="s">
        <v>24</v>
      </c>
      <c r="C128" s="144" t="s">
        <v>299</v>
      </c>
      <c r="D128" s="275" t="s">
        <v>280</v>
      </c>
      <c r="E128" s="144">
        <v>3.1935978110000001</v>
      </c>
      <c r="F128" s="144">
        <v>-37.414247826900002</v>
      </c>
      <c r="G128" s="144">
        <v>6.1824021474000004</v>
      </c>
      <c r="H128" s="144">
        <v>8.1085969091300003E-2</v>
      </c>
      <c r="I128" s="256">
        <v>40</v>
      </c>
      <c r="J128" s="257">
        <v>0</v>
      </c>
      <c r="K128" s="257">
        <v>0</v>
      </c>
      <c r="L128" s="257">
        <v>0</v>
      </c>
      <c r="M128" s="258">
        <v>0</v>
      </c>
    </row>
    <row r="129" spans="1:13">
      <c r="A129" s="144" t="s">
        <v>252</v>
      </c>
      <c r="B129" s="144" t="s">
        <v>28</v>
      </c>
      <c r="C129" s="144" t="s">
        <v>303</v>
      </c>
      <c r="D129" s="275" t="s">
        <v>280</v>
      </c>
      <c r="E129" s="144">
        <v>2.3987552319000001</v>
      </c>
      <c r="F129" s="144">
        <v>-34.723487774500001</v>
      </c>
      <c r="G129" s="144">
        <v>5.7996446390000003</v>
      </c>
      <c r="H129" s="144">
        <v>0.12730592112389999</v>
      </c>
      <c r="I129" s="256">
        <v>40</v>
      </c>
      <c r="J129" s="257">
        <v>0</v>
      </c>
      <c r="K129" s="257">
        <v>0</v>
      </c>
      <c r="L129" s="257">
        <v>0</v>
      </c>
      <c r="M129" s="258">
        <v>0</v>
      </c>
    </row>
    <row r="130" spans="1:13">
      <c r="A130" s="144" t="s">
        <v>252</v>
      </c>
      <c r="B130" s="144" t="s">
        <v>32</v>
      </c>
      <c r="C130" s="144" t="s">
        <v>307</v>
      </c>
      <c r="D130" s="275" t="s">
        <v>280</v>
      </c>
      <c r="E130" s="144">
        <v>2.5297380184999998</v>
      </c>
      <c r="F130" s="144">
        <v>-35.030014509799997</v>
      </c>
      <c r="G130" s="144">
        <v>6.2051108885000001</v>
      </c>
      <c r="H130" s="144">
        <v>0.105831759754</v>
      </c>
      <c r="I130" s="256">
        <v>40</v>
      </c>
      <c r="J130" s="257">
        <v>0</v>
      </c>
      <c r="K130" s="257">
        <v>0</v>
      </c>
      <c r="L130" s="257">
        <v>0</v>
      </c>
      <c r="M130" s="258">
        <v>0</v>
      </c>
    </row>
    <row r="131" spans="1:13">
      <c r="A131" s="144" t="s">
        <v>252</v>
      </c>
      <c r="B131" s="144" t="s">
        <v>21</v>
      </c>
      <c r="C131" s="144" t="s">
        <v>296</v>
      </c>
      <c r="D131" s="275" t="s">
        <v>280</v>
      </c>
      <c r="E131" s="144">
        <v>3.0553842454</v>
      </c>
      <c r="F131" s="144">
        <v>-37.183637422300002</v>
      </c>
      <c r="G131" s="144">
        <v>5.6810824598999998</v>
      </c>
      <c r="H131" s="144">
        <v>8.2196627578599996E-2</v>
      </c>
      <c r="I131" s="256">
        <v>40</v>
      </c>
      <c r="J131" s="257">
        <v>0</v>
      </c>
      <c r="K131" s="257">
        <v>0</v>
      </c>
      <c r="L131" s="257">
        <v>0</v>
      </c>
      <c r="M131" s="258">
        <v>0</v>
      </c>
    </row>
    <row r="132" spans="1:13">
      <c r="A132" s="144" t="s">
        <v>252</v>
      </c>
      <c r="B132" s="144" t="s">
        <v>25</v>
      </c>
      <c r="C132" s="144" t="s">
        <v>300</v>
      </c>
      <c r="D132" s="275" t="s">
        <v>280</v>
      </c>
      <c r="E132" s="144">
        <v>3.1935978110000001</v>
      </c>
      <c r="F132" s="144">
        <v>-37.414247826900002</v>
      </c>
      <c r="G132" s="144">
        <v>6.1824021474000004</v>
      </c>
      <c r="H132" s="144">
        <v>6.4760540386599993E-2</v>
      </c>
      <c r="I132" s="256">
        <v>40</v>
      </c>
      <c r="J132" s="257">
        <v>0</v>
      </c>
      <c r="K132" s="257">
        <v>0</v>
      </c>
      <c r="L132" s="257">
        <v>0</v>
      </c>
      <c r="M132" s="258">
        <v>0</v>
      </c>
    </row>
    <row r="133" spans="1:13">
      <c r="A133" s="144" t="s">
        <v>252</v>
      </c>
      <c r="B133" s="144" t="s">
        <v>29</v>
      </c>
      <c r="C133" s="144" t="s">
        <v>304</v>
      </c>
      <c r="D133" s="275" t="s">
        <v>280</v>
      </c>
      <c r="E133" s="144">
        <v>2.3987552319000001</v>
      </c>
      <c r="F133" s="144">
        <v>-34.723487774500001</v>
      </c>
      <c r="G133" s="144">
        <v>5.7996446390000003</v>
      </c>
      <c r="H133" s="144">
        <v>0.10167480685979999</v>
      </c>
      <c r="I133" s="256">
        <v>40</v>
      </c>
      <c r="J133" s="257">
        <v>0</v>
      </c>
      <c r="K133" s="257">
        <v>0</v>
      </c>
      <c r="L133" s="257">
        <v>0</v>
      </c>
      <c r="M133" s="258">
        <v>0</v>
      </c>
    </row>
    <row r="134" spans="1:13">
      <c r="A134" s="144" t="s">
        <v>252</v>
      </c>
      <c r="B134" s="144" t="s">
        <v>33</v>
      </c>
      <c r="C134" s="144" t="s">
        <v>308</v>
      </c>
      <c r="D134" s="275" t="s">
        <v>280</v>
      </c>
      <c r="E134" s="144">
        <v>2.5297380184999998</v>
      </c>
      <c r="F134" s="144">
        <v>-35.030014509799997</v>
      </c>
      <c r="G134" s="144">
        <v>6.2051108885000001</v>
      </c>
      <c r="H134" s="144">
        <v>8.4524141827999999E-2</v>
      </c>
      <c r="I134" s="256">
        <v>40</v>
      </c>
      <c r="J134" s="257">
        <v>0</v>
      </c>
      <c r="K134" s="257">
        <v>0</v>
      </c>
      <c r="L134" s="257">
        <v>0</v>
      </c>
      <c r="M134" s="258">
        <v>0</v>
      </c>
    </row>
    <row r="135" spans="1:13">
      <c r="A135" s="144" t="s">
        <v>252</v>
      </c>
      <c r="B135" s="144" t="s">
        <v>35</v>
      </c>
      <c r="C135" s="144" t="s">
        <v>310</v>
      </c>
      <c r="D135" s="275" t="s">
        <v>280</v>
      </c>
      <c r="E135" s="144">
        <v>3.0385546748999999</v>
      </c>
      <c r="F135" s="144">
        <v>-37.182990840800002</v>
      </c>
      <c r="G135" s="144">
        <v>5.6644868649999998</v>
      </c>
      <c r="H135" s="144">
        <v>9.3339574874000006E-2</v>
      </c>
      <c r="I135" s="256">
        <v>40</v>
      </c>
      <c r="J135" s="257">
        <v>0</v>
      </c>
      <c r="K135" s="257">
        <v>0</v>
      </c>
      <c r="L135" s="257">
        <v>0</v>
      </c>
      <c r="M135" s="258">
        <v>0</v>
      </c>
    </row>
    <row r="136" spans="1:13">
      <c r="A136" s="144" t="s">
        <v>252</v>
      </c>
      <c r="B136" s="144" t="s">
        <v>39</v>
      </c>
      <c r="C136" s="144" t="s">
        <v>314</v>
      </c>
      <c r="D136" s="275" t="s">
        <v>280</v>
      </c>
      <c r="E136" s="144">
        <v>3.1764404493999998</v>
      </c>
      <c r="F136" s="144">
        <v>-37.410583151700003</v>
      </c>
      <c r="G136" s="144">
        <v>6.1622335977000002</v>
      </c>
      <c r="H136" s="144">
        <v>7.4154263398000006E-2</v>
      </c>
      <c r="I136" s="256">
        <v>40</v>
      </c>
      <c r="J136" s="257">
        <v>0</v>
      </c>
      <c r="K136" s="257">
        <v>0</v>
      </c>
      <c r="L136" s="257">
        <v>0</v>
      </c>
      <c r="M136" s="258">
        <v>0</v>
      </c>
    </row>
    <row r="137" spans="1:13">
      <c r="A137" s="144" t="s">
        <v>252</v>
      </c>
      <c r="B137" s="144" t="s">
        <v>43</v>
      </c>
      <c r="C137" s="144" t="s">
        <v>318</v>
      </c>
      <c r="D137" s="275" t="s">
        <v>280</v>
      </c>
      <c r="E137" s="144">
        <v>2.3767683503999999</v>
      </c>
      <c r="F137" s="144">
        <v>-34.719233251299997</v>
      </c>
      <c r="G137" s="144">
        <v>5.8332161640000004</v>
      </c>
      <c r="H137" s="144">
        <v>0.11895720373100001</v>
      </c>
      <c r="I137" s="256">
        <v>40</v>
      </c>
      <c r="J137" s="257">
        <v>0</v>
      </c>
      <c r="K137" s="257">
        <v>0</v>
      </c>
      <c r="L137" s="257">
        <v>0</v>
      </c>
      <c r="M137" s="258">
        <v>0</v>
      </c>
    </row>
    <row r="138" spans="1:13">
      <c r="A138" s="144" t="s">
        <v>252</v>
      </c>
      <c r="B138" s="144" t="s">
        <v>47</v>
      </c>
      <c r="C138" s="144" t="s">
        <v>322</v>
      </c>
      <c r="D138" s="275" t="s">
        <v>280</v>
      </c>
      <c r="E138" s="144">
        <v>2.5078170188</v>
      </c>
      <c r="F138" s="144">
        <v>-35.036736334399997</v>
      </c>
      <c r="G138" s="144">
        <v>6.2430159032999999</v>
      </c>
      <c r="H138" s="144">
        <v>0.10011176376399999</v>
      </c>
      <c r="I138" s="256">
        <v>40</v>
      </c>
      <c r="J138" s="257">
        <v>0</v>
      </c>
      <c r="K138" s="257">
        <v>0</v>
      </c>
      <c r="L138" s="257">
        <v>0</v>
      </c>
      <c r="M138" s="258">
        <v>0</v>
      </c>
    </row>
    <row r="139" spans="1:13">
      <c r="A139" s="144" t="s">
        <v>252</v>
      </c>
      <c r="B139" s="144" t="s">
        <v>36</v>
      </c>
      <c r="C139" s="144" t="s">
        <v>311</v>
      </c>
      <c r="D139" s="275" t="s">
        <v>280</v>
      </c>
      <c r="E139" s="144">
        <v>3.0385546748999999</v>
      </c>
      <c r="F139" s="144">
        <v>-37.182990840800002</v>
      </c>
      <c r="G139" s="144">
        <v>5.6644868649999998</v>
      </c>
      <c r="H139" s="144">
        <v>0.1064543759006</v>
      </c>
      <c r="I139" s="256">
        <v>40</v>
      </c>
      <c r="J139" s="257">
        <v>0</v>
      </c>
      <c r="K139" s="257">
        <v>0</v>
      </c>
      <c r="L139" s="257">
        <v>0</v>
      </c>
      <c r="M139" s="258">
        <v>0</v>
      </c>
    </row>
    <row r="140" spans="1:13">
      <c r="A140" s="144" t="s">
        <v>252</v>
      </c>
      <c r="B140" s="144" t="s">
        <v>40</v>
      </c>
      <c r="C140" s="144" t="s">
        <v>315</v>
      </c>
      <c r="D140" s="275" t="s">
        <v>280</v>
      </c>
      <c r="E140" s="144">
        <v>3.1764404493999998</v>
      </c>
      <c r="F140" s="144">
        <v>-37.410583151700003</v>
      </c>
      <c r="G140" s="144">
        <v>6.1622335977000002</v>
      </c>
      <c r="H140" s="144">
        <v>8.4573406736199994E-2</v>
      </c>
      <c r="I140" s="256">
        <v>40</v>
      </c>
      <c r="J140" s="257">
        <v>0</v>
      </c>
      <c r="K140" s="257">
        <v>0</v>
      </c>
      <c r="L140" s="257">
        <v>0</v>
      </c>
      <c r="M140" s="258">
        <v>0</v>
      </c>
    </row>
    <row r="141" spans="1:13">
      <c r="A141" s="144" t="s">
        <v>252</v>
      </c>
      <c r="B141" s="144" t="s">
        <v>44</v>
      </c>
      <c r="C141" s="144" t="s">
        <v>319</v>
      </c>
      <c r="D141" s="275" t="s">
        <v>280</v>
      </c>
      <c r="E141" s="144">
        <v>2.3767683503999999</v>
      </c>
      <c r="F141" s="144">
        <v>-34.719233251299997</v>
      </c>
      <c r="G141" s="144">
        <v>5.8332161640000004</v>
      </c>
      <c r="H141" s="144">
        <v>0.1356714437489</v>
      </c>
      <c r="I141" s="256">
        <v>40</v>
      </c>
      <c r="J141" s="257">
        <v>0</v>
      </c>
      <c r="K141" s="257">
        <v>0</v>
      </c>
      <c r="L141" s="257">
        <v>0</v>
      </c>
      <c r="M141" s="258">
        <v>0</v>
      </c>
    </row>
    <row r="142" spans="1:13">
      <c r="A142" s="144" t="s">
        <v>252</v>
      </c>
      <c r="B142" s="144" t="s">
        <v>48</v>
      </c>
      <c r="C142" s="144" t="s">
        <v>323</v>
      </c>
      <c r="D142" s="275" t="s">
        <v>280</v>
      </c>
      <c r="E142" s="144">
        <v>2.5078170188</v>
      </c>
      <c r="F142" s="144">
        <v>-35.036736334399997</v>
      </c>
      <c r="G142" s="144">
        <v>6.2430159032999999</v>
      </c>
      <c r="H142" s="144">
        <v>0.11417810019159999</v>
      </c>
      <c r="I142" s="256">
        <v>40</v>
      </c>
      <c r="J142" s="257">
        <v>0</v>
      </c>
      <c r="K142" s="257">
        <v>0</v>
      </c>
      <c r="L142" s="257">
        <v>0</v>
      </c>
      <c r="M142" s="258">
        <v>0</v>
      </c>
    </row>
    <row r="143" spans="1:13">
      <c r="A143" s="144" t="s">
        <v>252</v>
      </c>
      <c r="B143" s="144" t="s">
        <v>11</v>
      </c>
      <c r="C143" s="144" t="s">
        <v>286</v>
      </c>
      <c r="D143" s="275" t="s">
        <v>280</v>
      </c>
      <c r="E143" s="144">
        <v>3.0722214501999998</v>
      </c>
      <c r="F143" s="144">
        <v>-37.184284425999998</v>
      </c>
      <c r="G143" s="144">
        <v>5.6975233565999996</v>
      </c>
      <c r="H143" s="144">
        <v>9.3521456487599991E-2</v>
      </c>
      <c r="I143" s="256">
        <v>40</v>
      </c>
      <c r="J143" s="257">
        <v>0</v>
      </c>
      <c r="K143" s="257">
        <v>0</v>
      </c>
      <c r="L143" s="257">
        <v>0</v>
      </c>
      <c r="M143" s="258">
        <v>0</v>
      </c>
    </row>
    <row r="144" spans="1:13">
      <c r="A144" s="144" t="s">
        <v>252</v>
      </c>
      <c r="B144" s="144" t="s">
        <v>13</v>
      </c>
      <c r="C144" s="144" t="s">
        <v>288</v>
      </c>
      <c r="D144" s="275" t="s">
        <v>280</v>
      </c>
      <c r="E144" s="144">
        <v>3.2107659244</v>
      </c>
      <c r="F144" s="144">
        <v>-37.417880080300002</v>
      </c>
      <c r="G144" s="144">
        <v>6.2023999708000002</v>
      </c>
      <c r="H144" s="144">
        <v>7.3024308132400004E-2</v>
      </c>
      <c r="I144" s="256">
        <v>40</v>
      </c>
      <c r="J144" s="257">
        <v>0</v>
      </c>
      <c r="K144" s="257">
        <v>0</v>
      </c>
      <c r="L144" s="257">
        <v>0</v>
      </c>
      <c r="M144" s="258">
        <v>0</v>
      </c>
    </row>
    <row r="145" spans="1:13">
      <c r="A145" s="144" t="s">
        <v>252</v>
      </c>
      <c r="B145" s="144" t="s">
        <v>15</v>
      </c>
      <c r="C145" s="144" t="s">
        <v>290</v>
      </c>
      <c r="D145" s="275" t="s">
        <v>280</v>
      </c>
      <c r="E145" s="144">
        <v>2.4207683707999998</v>
      </c>
      <c r="F145" s="144">
        <v>-34.727791725099998</v>
      </c>
      <c r="G145" s="144">
        <v>5.7668252224999996</v>
      </c>
      <c r="H145" s="144">
        <v>0.11194122096960001</v>
      </c>
      <c r="I145" s="256">
        <v>40</v>
      </c>
      <c r="J145" s="257">
        <v>0</v>
      </c>
      <c r="K145" s="257">
        <v>0</v>
      </c>
      <c r="L145" s="257">
        <v>0</v>
      </c>
      <c r="M145" s="258">
        <v>0</v>
      </c>
    </row>
    <row r="146" spans="1:13">
      <c r="A146" s="144" t="s">
        <v>252</v>
      </c>
      <c r="B146" s="144" t="s">
        <v>17</v>
      </c>
      <c r="C146" s="144" t="s">
        <v>292</v>
      </c>
      <c r="D146" s="275" t="s">
        <v>280</v>
      </c>
      <c r="E146" s="144">
        <v>2.5516882275000001</v>
      </c>
      <c r="F146" s="144">
        <v>-35.023421941899997</v>
      </c>
      <c r="G146" s="144">
        <v>6.1680699420999998</v>
      </c>
      <c r="H146" s="144">
        <v>9.1749587616799994E-2</v>
      </c>
      <c r="I146" s="256">
        <v>40</v>
      </c>
      <c r="J146" s="257">
        <v>0</v>
      </c>
      <c r="K146" s="257">
        <v>0</v>
      </c>
      <c r="L146" s="257">
        <v>0</v>
      </c>
      <c r="M146" s="258">
        <v>0</v>
      </c>
    </row>
    <row r="147" spans="1:13">
      <c r="A147" s="144" t="s">
        <v>252</v>
      </c>
      <c r="B147" s="144" t="s">
        <v>37</v>
      </c>
      <c r="C147" s="144" t="s">
        <v>312</v>
      </c>
      <c r="D147" s="275" t="s">
        <v>280</v>
      </c>
      <c r="E147" s="144">
        <v>3.0385546748999999</v>
      </c>
      <c r="F147" s="144">
        <v>-37.182990840800002</v>
      </c>
      <c r="G147" s="144">
        <v>5.6644868649999998</v>
      </c>
      <c r="H147" s="144">
        <v>0.1124800952912</v>
      </c>
      <c r="I147" s="256">
        <v>40</v>
      </c>
      <c r="J147" s="257">
        <v>0</v>
      </c>
      <c r="K147" s="257">
        <v>0</v>
      </c>
      <c r="L147" s="257">
        <v>0</v>
      </c>
      <c r="M147" s="258">
        <v>0</v>
      </c>
    </row>
    <row r="148" spans="1:13">
      <c r="A148" s="144" t="s">
        <v>252</v>
      </c>
      <c r="B148" s="144" t="s">
        <v>41</v>
      </c>
      <c r="C148" s="144" t="s">
        <v>316</v>
      </c>
      <c r="D148" s="275" t="s">
        <v>280</v>
      </c>
      <c r="E148" s="144">
        <v>3.1764404493999998</v>
      </c>
      <c r="F148" s="144">
        <v>-37.410583151700003</v>
      </c>
      <c r="G148" s="144">
        <v>6.1622335977000002</v>
      </c>
      <c r="H148" s="144">
        <v>8.9360580702399994E-2</v>
      </c>
      <c r="I148" s="256">
        <v>40</v>
      </c>
      <c r="J148" s="257">
        <v>0</v>
      </c>
      <c r="K148" s="257">
        <v>0</v>
      </c>
      <c r="L148" s="257">
        <v>0</v>
      </c>
      <c r="M148" s="258">
        <v>0</v>
      </c>
    </row>
    <row r="149" spans="1:13">
      <c r="A149" s="144" t="s">
        <v>252</v>
      </c>
      <c r="B149" s="144" t="s">
        <v>45</v>
      </c>
      <c r="C149" s="144" t="s">
        <v>320</v>
      </c>
      <c r="D149" s="275" t="s">
        <v>280</v>
      </c>
      <c r="E149" s="144">
        <v>2.3767683503999999</v>
      </c>
      <c r="F149" s="144">
        <v>-34.719233251299997</v>
      </c>
      <c r="G149" s="144">
        <v>5.8332161640000004</v>
      </c>
      <c r="H149" s="144">
        <v>0.14335095943279999</v>
      </c>
      <c r="I149" s="256">
        <v>40</v>
      </c>
      <c r="J149" s="257">
        <v>0</v>
      </c>
      <c r="K149" s="257">
        <v>0</v>
      </c>
      <c r="L149" s="257">
        <v>0</v>
      </c>
      <c r="M149" s="258">
        <v>0</v>
      </c>
    </row>
    <row r="150" spans="1:13">
      <c r="A150" s="144" t="s">
        <v>252</v>
      </c>
      <c r="B150" s="144" t="s">
        <v>49</v>
      </c>
      <c r="C150" s="144" t="s">
        <v>324</v>
      </c>
      <c r="D150" s="275" t="s">
        <v>280</v>
      </c>
      <c r="E150" s="144">
        <v>2.5078170188</v>
      </c>
      <c r="F150" s="144">
        <v>-35.036736334399997</v>
      </c>
      <c r="G150" s="144">
        <v>6.2430159032999999</v>
      </c>
      <c r="H150" s="144">
        <v>0.12064101152319999</v>
      </c>
      <c r="I150" s="256">
        <v>40</v>
      </c>
      <c r="J150" s="257">
        <v>0</v>
      </c>
      <c r="K150" s="257">
        <v>0</v>
      </c>
      <c r="L150" s="257">
        <v>0</v>
      </c>
      <c r="M150" s="258">
        <v>0</v>
      </c>
    </row>
    <row r="151" spans="1:13">
      <c r="A151" s="144" t="s">
        <v>252</v>
      </c>
      <c r="B151" s="144" t="s">
        <v>53</v>
      </c>
      <c r="C151" s="144" t="s">
        <v>328</v>
      </c>
      <c r="D151" s="275" t="s">
        <v>280</v>
      </c>
      <c r="E151" s="144">
        <v>3.0217398597999998</v>
      </c>
      <c r="F151" s="144">
        <v>-37.182359950799999</v>
      </c>
      <c r="G151" s="144">
        <v>5.6477169550999999</v>
      </c>
      <c r="H151" s="144">
        <v>0.11828417805119999</v>
      </c>
      <c r="I151" s="256">
        <v>40</v>
      </c>
      <c r="J151" s="257">
        <v>0</v>
      </c>
      <c r="K151" s="257">
        <v>0</v>
      </c>
      <c r="L151" s="257">
        <v>0</v>
      </c>
      <c r="M151" s="258">
        <v>0</v>
      </c>
    </row>
    <row r="152" spans="1:13">
      <c r="A152" s="144" t="s">
        <v>252</v>
      </c>
      <c r="B152" s="144" t="s">
        <v>58</v>
      </c>
      <c r="C152" s="144" t="s">
        <v>333</v>
      </c>
      <c r="D152" s="275" t="s">
        <v>280</v>
      </c>
      <c r="E152" s="144">
        <v>3.1592940409999999</v>
      </c>
      <c r="F152" s="144">
        <v>-37.4068859976</v>
      </c>
      <c r="G152" s="144">
        <v>6.1418925604999997</v>
      </c>
      <c r="H152" s="144">
        <v>9.4704432791499996E-2</v>
      </c>
      <c r="I152" s="256">
        <v>40</v>
      </c>
      <c r="J152" s="257">
        <v>0</v>
      </c>
      <c r="K152" s="257">
        <v>0</v>
      </c>
      <c r="L152" s="257">
        <v>0</v>
      </c>
      <c r="M152" s="258">
        <v>0</v>
      </c>
    </row>
    <row r="153" spans="1:13">
      <c r="A153" s="144" t="s">
        <v>252</v>
      </c>
      <c r="B153" s="144" t="s">
        <v>63</v>
      </c>
      <c r="C153" s="144" t="s">
        <v>338</v>
      </c>
      <c r="D153" s="275" t="s">
        <v>280</v>
      </c>
      <c r="E153" s="144">
        <v>2.3548082787000002</v>
      </c>
      <c r="F153" s="144">
        <v>-34.715029850400001</v>
      </c>
      <c r="G153" s="144">
        <v>5.8675639272</v>
      </c>
      <c r="H153" s="144">
        <v>0.15491599500529998</v>
      </c>
      <c r="I153" s="256">
        <v>40</v>
      </c>
      <c r="J153" s="257">
        <v>0</v>
      </c>
      <c r="K153" s="257">
        <v>0</v>
      </c>
      <c r="L153" s="257">
        <v>0</v>
      </c>
      <c r="M153" s="258">
        <v>0</v>
      </c>
    </row>
    <row r="154" spans="1:13">
      <c r="A154" s="144" t="s">
        <v>252</v>
      </c>
      <c r="B154" s="144" t="s">
        <v>68</v>
      </c>
      <c r="C154" s="144" t="s">
        <v>343</v>
      </c>
      <c r="D154" s="275" t="s">
        <v>280</v>
      </c>
      <c r="E154" s="144">
        <v>2.4859160575999999</v>
      </c>
      <c r="F154" s="144">
        <v>-35.043597772699997</v>
      </c>
      <c r="G154" s="144">
        <v>6.2818214214000001</v>
      </c>
      <c r="H154" s="144">
        <v>0.13178340330489999</v>
      </c>
      <c r="I154" s="256">
        <v>40</v>
      </c>
      <c r="J154" s="257">
        <v>0</v>
      </c>
      <c r="K154" s="257">
        <v>0</v>
      </c>
      <c r="L154" s="257">
        <v>0</v>
      </c>
      <c r="M154" s="258">
        <v>0</v>
      </c>
    </row>
    <row r="155" spans="1:13">
      <c r="A155" s="144" t="s">
        <v>252</v>
      </c>
      <c r="B155" s="144" t="s">
        <v>54</v>
      </c>
      <c r="C155" s="144" t="s">
        <v>329</v>
      </c>
      <c r="D155" s="275" t="s">
        <v>280</v>
      </c>
      <c r="E155" s="144">
        <v>3.0217398597999998</v>
      </c>
      <c r="F155" s="144">
        <v>-37.182359950799999</v>
      </c>
      <c r="G155" s="144">
        <v>5.6477169550999999</v>
      </c>
      <c r="H155" s="144">
        <v>0.11706600937919999</v>
      </c>
      <c r="I155" s="256">
        <v>40</v>
      </c>
      <c r="J155" s="257">
        <v>0</v>
      </c>
      <c r="K155" s="257">
        <v>0</v>
      </c>
      <c r="L155" s="257">
        <v>0</v>
      </c>
      <c r="M155" s="258">
        <v>0</v>
      </c>
    </row>
    <row r="156" spans="1:13">
      <c r="A156" s="144" t="s">
        <v>252</v>
      </c>
      <c r="B156" s="144" t="s">
        <v>59</v>
      </c>
      <c r="C156" s="144" t="s">
        <v>334</v>
      </c>
      <c r="D156" s="275" t="s">
        <v>280</v>
      </c>
      <c r="E156" s="144">
        <v>3.1592940409999999</v>
      </c>
      <c r="F156" s="144">
        <v>-37.4068859976</v>
      </c>
      <c r="G156" s="144">
        <v>6.1418925604999997</v>
      </c>
      <c r="H156" s="144">
        <v>9.3729103926499996E-2</v>
      </c>
      <c r="I156" s="256">
        <v>40</v>
      </c>
      <c r="J156" s="257">
        <v>0</v>
      </c>
      <c r="K156" s="257">
        <v>0</v>
      </c>
      <c r="L156" s="257">
        <v>0</v>
      </c>
      <c r="M156" s="258">
        <v>0</v>
      </c>
    </row>
    <row r="157" spans="1:13">
      <c r="A157" s="144" t="s">
        <v>252</v>
      </c>
      <c r="B157" s="144" t="s">
        <v>64</v>
      </c>
      <c r="C157" s="144" t="s">
        <v>339</v>
      </c>
      <c r="D157" s="275" t="s">
        <v>280</v>
      </c>
      <c r="E157" s="144">
        <v>2.3548082787000002</v>
      </c>
      <c r="F157" s="144">
        <v>-34.715029850400001</v>
      </c>
      <c r="G157" s="144">
        <v>5.8675639272</v>
      </c>
      <c r="H157" s="144">
        <v>0.15332056766229998</v>
      </c>
      <c r="I157" s="256">
        <v>40</v>
      </c>
      <c r="J157" s="257">
        <v>0</v>
      </c>
      <c r="K157" s="257">
        <v>0</v>
      </c>
      <c r="L157" s="257">
        <v>0</v>
      </c>
      <c r="M157" s="258">
        <v>0</v>
      </c>
    </row>
    <row r="158" spans="1:13">
      <c r="A158" s="144" t="s">
        <v>252</v>
      </c>
      <c r="B158" s="144" t="s">
        <v>69</v>
      </c>
      <c r="C158" s="144" t="s">
        <v>344</v>
      </c>
      <c r="D158" s="275" t="s">
        <v>280</v>
      </c>
      <c r="E158" s="144">
        <v>2.4859160575999999</v>
      </c>
      <c r="F158" s="144">
        <v>-35.043597772699997</v>
      </c>
      <c r="G158" s="144">
        <v>6.2818214214000001</v>
      </c>
      <c r="H158" s="144">
        <v>0.13042621068589999</v>
      </c>
      <c r="I158" s="256">
        <v>40</v>
      </c>
      <c r="J158" s="257">
        <v>0</v>
      </c>
      <c r="K158" s="257">
        <v>0</v>
      </c>
      <c r="L158" s="257">
        <v>0</v>
      </c>
      <c r="M158" s="258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14999847407452621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97" customWidth="1"/>
    <col min="2" max="2" width="7" style="298" customWidth="1"/>
    <col min="3" max="3" width="27.7109375" style="277" customWidth="1"/>
    <col min="4" max="10" width="8.85546875" style="277" customWidth="1"/>
    <col min="11" max="14" width="11.42578125" style="277" customWidth="1"/>
    <col min="15" max="15" width="12.28515625" style="144" customWidth="1"/>
    <col min="16" max="16" width="16.5703125" style="277" customWidth="1"/>
    <col min="17" max="16384" width="11.42578125" style="277"/>
  </cols>
  <sheetData>
    <row r="1" spans="1:16" s="276" customFormat="1">
      <c r="A1" s="147" t="s">
        <v>466</v>
      </c>
      <c r="B1" s="144"/>
      <c r="D1" s="243" t="s">
        <v>570</v>
      </c>
    </row>
    <row r="2" spans="1:16">
      <c r="A2" s="277"/>
      <c r="B2" s="276" t="s">
        <v>467</v>
      </c>
    </row>
    <row r="3" spans="1:16" ht="20.100000000000001" customHeight="1">
      <c r="A3" s="328" t="s">
        <v>256</v>
      </c>
      <c r="B3" s="278" t="s">
        <v>86</v>
      </c>
      <c r="C3" s="279"/>
      <c r="D3" s="330" t="s">
        <v>468</v>
      </c>
      <c r="E3" s="331"/>
      <c r="F3" s="331"/>
      <c r="G3" s="331"/>
      <c r="H3" s="331"/>
      <c r="I3" s="331"/>
      <c r="J3" s="332"/>
      <c r="K3" s="280"/>
      <c r="L3" s="280"/>
      <c r="M3" s="280"/>
      <c r="N3" s="280"/>
      <c r="O3" s="281"/>
      <c r="P3" s="280"/>
    </row>
    <row r="4" spans="1:16" ht="20.100000000000001" customHeight="1">
      <c r="A4" s="329"/>
      <c r="B4" s="282"/>
      <c r="C4" s="283"/>
      <c r="D4" s="284" t="s">
        <v>87</v>
      </c>
      <c r="E4" s="284" t="s">
        <v>88</v>
      </c>
      <c r="F4" s="284" t="s">
        <v>89</v>
      </c>
      <c r="G4" s="284" t="s">
        <v>90</v>
      </c>
      <c r="H4" s="284" t="s">
        <v>91</v>
      </c>
      <c r="I4" s="284" t="s">
        <v>92</v>
      </c>
      <c r="J4" s="284" t="s">
        <v>93</v>
      </c>
      <c r="K4" s="280"/>
      <c r="L4" s="280"/>
      <c r="M4" s="280"/>
      <c r="N4" s="280"/>
      <c r="O4" s="281"/>
      <c r="P4" s="280"/>
    </row>
    <row r="5" spans="1:16" ht="31.5" customHeight="1">
      <c r="A5" s="285"/>
      <c r="B5" s="286" t="s">
        <v>94</v>
      </c>
      <c r="C5" s="283"/>
      <c r="D5" s="284" t="s">
        <v>95</v>
      </c>
      <c r="E5" s="284" t="s">
        <v>96</v>
      </c>
      <c r="F5" s="284" t="s">
        <v>97</v>
      </c>
      <c r="G5" s="284" t="s">
        <v>98</v>
      </c>
      <c r="H5" s="284" t="s">
        <v>99</v>
      </c>
      <c r="I5" s="284" t="s">
        <v>100</v>
      </c>
      <c r="J5" s="284" t="s">
        <v>101</v>
      </c>
      <c r="K5" s="284" t="s">
        <v>102</v>
      </c>
      <c r="L5" s="285" t="s">
        <v>103</v>
      </c>
      <c r="M5" s="285" t="s">
        <v>104</v>
      </c>
      <c r="N5" s="287" t="s">
        <v>147</v>
      </c>
      <c r="O5" s="287" t="s">
        <v>258</v>
      </c>
      <c r="P5" s="288" t="s">
        <v>257</v>
      </c>
    </row>
    <row r="6" spans="1:16" ht="20.100000000000001" customHeight="1">
      <c r="A6" s="285"/>
      <c r="B6" s="286">
        <v>1</v>
      </c>
      <c r="C6" s="289">
        <v>2</v>
      </c>
      <c r="D6" s="284">
        <v>3</v>
      </c>
      <c r="E6" s="284">
        <v>4</v>
      </c>
      <c r="F6" s="284">
        <v>5</v>
      </c>
      <c r="G6" s="284">
        <v>6</v>
      </c>
      <c r="H6" s="284">
        <v>7</v>
      </c>
      <c r="I6" s="284">
        <v>8</v>
      </c>
      <c r="J6" s="284">
        <v>9</v>
      </c>
      <c r="K6" s="284">
        <v>10</v>
      </c>
      <c r="L6" s="284">
        <v>11</v>
      </c>
      <c r="M6" s="284">
        <v>12</v>
      </c>
      <c r="N6" s="284"/>
      <c r="O6" s="290"/>
      <c r="P6" s="284"/>
    </row>
    <row r="7" spans="1:16" ht="21" customHeight="1">
      <c r="A7" s="291">
        <v>1</v>
      </c>
      <c r="B7" s="284" t="s">
        <v>105</v>
      </c>
      <c r="C7" s="292" t="s">
        <v>106</v>
      </c>
      <c r="D7" s="293">
        <v>1</v>
      </c>
      <c r="E7" s="293">
        <v>1</v>
      </c>
      <c r="F7" s="293">
        <v>1</v>
      </c>
      <c r="G7" s="293">
        <v>1</v>
      </c>
      <c r="H7" s="293">
        <v>1</v>
      </c>
      <c r="I7" s="293">
        <v>1</v>
      </c>
      <c r="J7" s="293">
        <v>1</v>
      </c>
      <c r="K7" s="294">
        <v>1</v>
      </c>
      <c r="L7" s="284" t="s">
        <v>102</v>
      </c>
      <c r="M7" s="294">
        <f t="shared" ref="M7:M21" si="0">MAX(D7:J7)</f>
        <v>1</v>
      </c>
      <c r="N7" s="295" t="s">
        <v>376</v>
      </c>
      <c r="O7" s="290"/>
      <c r="P7" s="284"/>
    </row>
    <row r="8" spans="1:16" ht="21" customHeight="1">
      <c r="A8" s="291">
        <v>2</v>
      </c>
      <c r="B8" s="284" t="s">
        <v>107</v>
      </c>
      <c r="C8" s="292" t="s">
        <v>108</v>
      </c>
      <c r="D8" s="293">
        <v>1</v>
      </c>
      <c r="E8" s="293">
        <v>1</v>
      </c>
      <c r="F8" s="293">
        <v>1</v>
      </c>
      <c r="G8" s="293">
        <v>1</v>
      </c>
      <c r="H8" s="293">
        <v>1</v>
      </c>
      <c r="I8" s="293">
        <v>1</v>
      </c>
      <c r="J8" s="293">
        <v>1</v>
      </c>
      <c r="K8" s="294">
        <v>1</v>
      </c>
      <c r="L8" s="284" t="s">
        <v>102</v>
      </c>
      <c r="M8" s="294">
        <f t="shared" si="0"/>
        <v>1</v>
      </c>
      <c r="N8" s="295" t="s">
        <v>376</v>
      </c>
      <c r="O8" s="290"/>
      <c r="P8" s="284"/>
    </row>
    <row r="9" spans="1:16" ht="21" customHeight="1">
      <c r="A9" s="291">
        <v>3</v>
      </c>
      <c r="B9" s="284" t="s">
        <v>254</v>
      </c>
      <c r="C9" s="296" t="s">
        <v>5</v>
      </c>
      <c r="D9" s="293">
        <v>1</v>
      </c>
      <c r="E9" s="293">
        <v>1</v>
      </c>
      <c r="F9" s="293">
        <v>1</v>
      </c>
      <c r="G9" s="293">
        <v>1</v>
      </c>
      <c r="H9" s="293">
        <v>1</v>
      </c>
      <c r="I9" s="293">
        <v>1</v>
      </c>
      <c r="J9" s="293">
        <v>1</v>
      </c>
      <c r="K9" s="294">
        <v>1</v>
      </c>
      <c r="L9" s="284" t="s">
        <v>102</v>
      </c>
      <c r="M9" s="294">
        <f t="shared" ref="M9" si="1">MAX(D9:J9)</f>
        <v>1</v>
      </c>
      <c r="N9" s="295" t="s">
        <v>5</v>
      </c>
      <c r="O9" s="290"/>
      <c r="P9" s="284"/>
    </row>
    <row r="10" spans="1:16">
      <c r="D10" s="299"/>
      <c r="E10" s="299"/>
      <c r="F10" s="299"/>
      <c r="G10" s="299"/>
      <c r="H10" s="299"/>
      <c r="I10" s="299"/>
      <c r="J10" s="299"/>
      <c r="K10" s="299"/>
      <c r="M10" s="299"/>
    </row>
    <row r="11" spans="1:16" ht="38.25">
      <c r="A11" s="291">
        <v>4</v>
      </c>
      <c r="B11" s="284" t="s">
        <v>109</v>
      </c>
      <c r="C11" s="300" t="s">
        <v>110</v>
      </c>
      <c r="D11" s="293">
        <v>1.0353906654726432</v>
      </c>
      <c r="E11" s="293">
        <v>1.0522626697461936</v>
      </c>
      <c r="F11" s="293">
        <v>1.044930469815579</v>
      </c>
      <c r="G11" s="293">
        <v>1.0493599072216477</v>
      </c>
      <c r="H11" s="293">
        <v>0.98845974897770117</v>
      </c>
      <c r="I11" s="293">
        <v>0.88600563590711467</v>
      </c>
      <c r="J11" s="293">
        <v>0.94359090285912128</v>
      </c>
      <c r="K11" s="294">
        <v>1</v>
      </c>
      <c r="L11" s="284" t="s">
        <v>96</v>
      </c>
      <c r="M11" s="294">
        <f t="shared" si="0"/>
        <v>1.0522626697461936</v>
      </c>
      <c r="N11" s="295" t="s">
        <v>261</v>
      </c>
      <c r="O11" s="290" t="s">
        <v>259</v>
      </c>
      <c r="P11" s="284"/>
    </row>
    <row r="12" spans="1:16">
      <c r="A12" s="291">
        <v>5</v>
      </c>
      <c r="B12" s="284" t="s">
        <v>111</v>
      </c>
      <c r="C12" s="300" t="s">
        <v>112</v>
      </c>
      <c r="D12" s="293">
        <v>1.0358469949391176</v>
      </c>
      <c r="E12" s="293">
        <v>1.02316516044779</v>
      </c>
      <c r="F12" s="293">
        <v>1.0252246163717811</v>
      </c>
      <c r="G12" s="293">
        <v>1.0295353991682878</v>
      </c>
      <c r="H12" s="293">
        <v>1.0252886184395307</v>
      </c>
      <c r="I12" s="293">
        <v>0.96749527065836149</v>
      </c>
      <c r="J12" s="293">
        <v>0.89344393997513094</v>
      </c>
      <c r="K12" s="294">
        <v>1</v>
      </c>
      <c r="L12" s="284" t="s">
        <v>95</v>
      </c>
      <c r="M12" s="294">
        <f t="shared" si="0"/>
        <v>1.0358469949391176</v>
      </c>
      <c r="N12" s="295" t="s">
        <v>261</v>
      </c>
      <c r="O12" s="290" t="s">
        <v>259</v>
      </c>
      <c r="P12" s="284"/>
    </row>
    <row r="13" spans="1:16">
      <c r="A13" s="291">
        <v>6</v>
      </c>
      <c r="B13" s="284" t="s">
        <v>113</v>
      </c>
      <c r="C13" s="300" t="s">
        <v>114</v>
      </c>
      <c r="D13" s="293">
        <v>1.069856584592316</v>
      </c>
      <c r="E13" s="293">
        <v>1.0365322101473011</v>
      </c>
      <c r="F13" s="293">
        <v>0.99325571791923428</v>
      </c>
      <c r="G13" s="293">
        <v>0.99478284885862911</v>
      </c>
      <c r="H13" s="293">
        <v>1.065870859929255</v>
      </c>
      <c r="I13" s="293">
        <v>0.93624497196962364</v>
      </c>
      <c r="J13" s="293">
        <v>0.9034568065836398</v>
      </c>
      <c r="K13" s="294">
        <v>1</v>
      </c>
      <c r="L13" s="284" t="s">
        <v>95</v>
      </c>
      <c r="M13" s="294">
        <f t="shared" si="0"/>
        <v>1.069856584592316</v>
      </c>
      <c r="N13" s="295" t="s">
        <v>261</v>
      </c>
      <c r="O13" s="290" t="s">
        <v>259</v>
      </c>
      <c r="P13" s="284"/>
    </row>
    <row r="14" spans="1:16" ht="21" customHeight="1">
      <c r="A14" s="291">
        <v>7</v>
      </c>
      <c r="B14" s="284" t="s">
        <v>115</v>
      </c>
      <c r="C14" s="300" t="s">
        <v>116</v>
      </c>
      <c r="D14" s="293">
        <v>1.1052461688999999</v>
      </c>
      <c r="E14" s="293">
        <v>1.0857012791</v>
      </c>
      <c r="F14" s="293">
        <v>1.0377707872999999</v>
      </c>
      <c r="G14" s="293">
        <v>1.0621551300000001</v>
      </c>
      <c r="H14" s="293">
        <v>1.0265803347</v>
      </c>
      <c r="I14" s="293">
        <v>0.76289468090000001</v>
      </c>
      <c r="J14" s="293">
        <v>0.897991231</v>
      </c>
      <c r="K14" s="294">
        <v>1</v>
      </c>
      <c r="L14" s="284" t="s">
        <v>95</v>
      </c>
      <c r="M14" s="294">
        <f t="shared" si="0"/>
        <v>1.1052461688999999</v>
      </c>
      <c r="N14" s="295" t="s">
        <v>261</v>
      </c>
      <c r="O14" s="290" t="s">
        <v>259</v>
      </c>
      <c r="P14" s="284"/>
    </row>
    <row r="15" spans="1:16" ht="21" customHeight="1">
      <c r="A15" s="291">
        <v>8</v>
      </c>
      <c r="B15" s="284" t="s">
        <v>117</v>
      </c>
      <c r="C15" s="300" t="s">
        <v>118</v>
      </c>
      <c r="D15" s="293">
        <v>0.97669400949999996</v>
      </c>
      <c r="E15" s="293">
        <v>1.0389446761000001</v>
      </c>
      <c r="F15" s="293">
        <v>1.0028244082</v>
      </c>
      <c r="G15" s="293">
        <v>1.0161945715</v>
      </c>
      <c r="H15" s="293">
        <v>1.0023537775</v>
      </c>
      <c r="I15" s="293">
        <v>1.0043297858</v>
      </c>
      <c r="J15" s="293">
        <v>0.95836706260000004</v>
      </c>
      <c r="K15" s="294">
        <v>1</v>
      </c>
      <c r="L15" s="284" t="s">
        <v>96</v>
      </c>
      <c r="M15" s="294">
        <f t="shared" si="0"/>
        <v>1.0389446761000001</v>
      </c>
      <c r="N15" s="295" t="s">
        <v>261</v>
      </c>
      <c r="O15" s="290" t="s">
        <v>259</v>
      </c>
      <c r="P15" s="284"/>
    </row>
    <row r="16" spans="1:16" ht="21" customHeight="1">
      <c r="A16" s="291">
        <v>9</v>
      </c>
      <c r="B16" s="284" t="s">
        <v>123</v>
      </c>
      <c r="C16" s="300" t="s">
        <v>124</v>
      </c>
      <c r="D16" s="293">
        <v>1.2457482941</v>
      </c>
      <c r="E16" s="293">
        <v>1.2614994284000001</v>
      </c>
      <c r="F16" s="293">
        <v>1.2706602107</v>
      </c>
      <c r="G16" s="293">
        <v>1.2430339493</v>
      </c>
      <c r="H16" s="293">
        <v>1.1276335364000001</v>
      </c>
      <c r="I16" s="293">
        <v>0.38766183700000001</v>
      </c>
      <c r="J16" s="293">
        <v>0.46154420480000002</v>
      </c>
      <c r="K16" s="294">
        <v>1</v>
      </c>
      <c r="L16" s="284" t="s">
        <v>97</v>
      </c>
      <c r="M16" s="294">
        <f>MAX(D16:J16)</f>
        <v>1.2706602107</v>
      </c>
      <c r="N16" s="295" t="s">
        <v>261</v>
      </c>
      <c r="O16" s="290" t="s">
        <v>259</v>
      </c>
      <c r="P16" s="284"/>
    </row>
    <row r="17" spans="1:16" ht="21" customHeight="1">
      <c r="A17" s="291">
        <v>10</v>
      </c>
      <c r="B17" s="284" t="s">
        <v>119</v>
      </c>
      <c r="C17" s="301" t="s">
        <v>120</v>
      </c>
      <c r="D17" s="293">
        <v>0.93224741529999999</v>
      </c>
      <c r="E17" s="293">
        <v>0.98942188180000001</v>
      </c>
      <c r="F17" s="293">
        <v>1.0033248159999999</v>
      </c>
      <c r="G17" s="293">
        <v>1.0108926578999999</v>
      </c>
      <c r="H17" s="293">
        <v>1.0179736627</v>
      </c>
      <c r="I17" s="293">
        <v>1.0355882019</v>
      </c>
      <c r="J17" s="293">
        <v>1.0090728500999999</v>
      </c>
      <c r="K17" s="294">
        <v>1</v>
      </c>
      <c r="L17" s="284" t="s">
        <v>100</v>
      </c>
      <c r="M17" s="294">
        <f t="shared" si="0"/>
        <v>1.0355882019</v>
      </c>
      <c r="N17" s="295" t="s">
        <v>261</v>
      </c>
      <c r="O17" s="290" t="s">
        <v>260</v>
      </c>
      <c r="P17" s="284" t="s">
        <v>117</v>
      </c>
    </row>
    <row r="18" spans="1:16" ht="21" customHeight="1">
      <c r="A18" s="291">
        <v>11</v>
      </c>
      <c r="B18" s="284" t="s">
        <v>121</v>
      </c>
      <c r="C18" s="301" t="s">
        <v>122</v>
      </c>
      <c r="D18" s="293">
        <v>1.0847669095000001</v>
      </c>
      <c r="E18" s="293">
        <v>1.1211171725</v>
      </c>
      <c r="F18" s="293">
        <v>1.0769491269</v>
      </c>
      <c r="G18" s="293">
        <v>1.1353121304</v>
      </c>
      <c r="H18" s="293">
        <v>1.1401797148999999</v>
      </c>
      <c r="I18" s="293">
        <v>0.48522456780000001</v>
      </c>
      <c r="J18" s="293">
        <v>0.95842228019999998</v>
      </c>
      <c r="K18" s="294">
        <v>1</v>
      </c>
      <c r="L18" s="284" t="s">
        <v>99</v>
      </c>
      <c r="M18" s="294">
        <f t="shared" si="0"/>
        <v>1.1401797148999999</v>
      </c>
      <c r="N18" s="295" t="s">
        <v>261</v>
      </c>
      <c r="O18" s="290" t="s">
        <v>260</v>
      </c>
      <c r="P18" s="284" t="s">
        <v>123</v>
      </c>
    </row>
    <row r="19" spans="1:16" ht="21" customHeight="1">
      <c r="A19" s="291">
        <v>12</v>
      </c>
      <c r="B19" s="284" t="s">
        <v>125</v>
      </c>
      <c r="C19" s="301" t="s">
        <v>126</v>
      </c>
      <c r="D19" s="293">
        <v>0.98966305430000001</v>
      </c>
      <c r="E19" s="293">
        <v>0.96273607660000005</v>
      </c>
      <c r="F19" s="293">
        <v>1.0507108354000001</v>
      </c>
      <c r="G19" s="293">
        <v>1.0552346931000001</v>
      </c>
      <c r="H19" s="293">
        <v>1.0297033313999999</v>
      </c>
      <c r="I19" s="293">
        <v>0.97667108069999997</v>
      </c>
      <c r="J19" s="293">
        <v>0.93598879079999997</v>
      </c>
      <c r="K19" s="294">
        <v>1</v>
      </c>
      <c r="L19" s="284" t="s">
        <v>98</v>
      </c>
      <c r="M19" s="294">
        <f t="shared" si="0"/>
        <v>1.0552346931000001</v>
      </c>
      <c r="N19" s="295" t="s">
        <v>261</v>
      </c>
      <c r="O19" s="290" t="s">
        <v>260</v>
      </c>
      <c r="P19" s="284" t="s">
        <v>109</v>
      </c>
    </row>
    <row r="20" spans="1:16" ht="21" customHeight="1">
      <c r="A20" s="291">
        <v>13</v>
      </c>
      <c r="B20" s="284" t="s">
        <v>127</v>
      </c>
      <c r="C20" s="301" t="s">
        <v>128</v>
      </c>
      <c r="D20" s="293">
        <v>1.0213513196999999</v>
      </c>
      <c r="E20" s="293">
        <v>1.0865859003</v>
      </c>
      <c r="F20" s="293">
        <v>1.0719708746000001</v>
      </c>
      <c r="G20" s="293">
        <v>1.0557448463000001</v>
      </c>
      <c r="H20" s="293">
        <v>1.0116673967000001</v>
      </c>
      <c r="I20" s="293">
        <v>0.9001424455</v>
      </c>
      <c r="J20" s="293">
        <v>0.8511495026</v>
      </c>
      <c r="K20" s="294">
        <v>1</v>
      </c>
      <c r="L20" s="284" t="s">
        <v>95</v>
      </c>
      <c r="M20" s="294">
        <f t="shared" si="0"/>
        <v>1.0865859003</v>
      </c>
      <c r="N20" s="295" t="s">
        <v>261</v>
      </c>
      <c r="O20" s="290" t="s">
        <v>260</v>
      </c>
      <c r="P20" s="284" t="s">
        <v>111</v>
      </c>
    </row>
    <row r="21" spans="1:16" ht="24.75" customHeight="1">
      <c r="A21" s="291">
        <v>14</v>
      </c>
      <c r="B21" s="284" t="s">
        <v>129</v>
      </c>
      <c r="C21" s="301" t="s">
        <v>130</v>
      </c>
      <c r="D21" s="293">
        <f>D11</f>
        <v>1.0353906654726432</v>
      </c>
      <c r="E21" s="293">
        <f t="shared" ref="E21:K22" si="2">E11</f>
        <v>1.0522626697461936</v>
      </c>
      <c r="F21" s="293">
        <f t="shared" si="2"/>
        <v>1.044930469815579</v>
      </c>
      <c r="G21" s="293">
        <f t="shared" si="2"/>
        <v>1.0493599072216477</v>
      </c>
      <c r="H21" s="293">
        <f t="shared" si="2"/>
        <v>0.98845974897770117</v>
      </c>
      <c r="I21" s="293">
        <f t="shared" si="2"/>
        <v>0.88600563590711467</v>
      </c>
      <c r="J21" s="293">
        <f t="shared" si="2"/>
        <v>0.94359090285912128</v>
      </c>
      <c r="K21" s="294">
        <f t="shared" si="2"/>
        <v>1</v>
      </c>
      <c r="L21" s="284" t="s">
        <v>96</v>
      </c>
      <c r="M21" s="294">
        <f t="shared" si="0"/>
        <v>1.0522626697461936</v>
      </c>
      <c r="N21" s="295" t="s">
        <v>261</v>
      </c>
      <c r="O21" s="290" t="s">
        <v>260</v>
      </c>
      <c r="P21" s="284" t="s">
        <v>117</v>
      </c>
    </row>
    <row r="22" spans="1:16" ht="25.5">
      <c r="A22" s="291">
        <v>15</v>
      </c>
      <c r="B22" s="284" t="s">
        <v>131</v>
      </c>
      <c r="C22" s="302" t="s">
        <v>132</v>
      </c>
      <c r="D22" s="293">
        <v>1.03</v>
      </c>
      <c r="E22" s="293">
        <v>1.03</v>
      </c>
      <c r="F22" s="293">
        <v>1.02</v>
      </c>
      <c r="G22" s="293">
        <v>1.03</v>
      </c>
      <c r="H22" s="293">
        <v>1.01</v>
      </c>
      <c r="I22" s="293">
        <v>0.93</v>
      </c>
      <c r="J22" s="293">
        <v>0.94</v>
      </c>
      <c r="K22" s="294">
        <f t="shared" si="2"/>
        <v>1</v>
      </c>
      <c r="L22" s="284" t="s">
        <v>96</v>
      </c>
      <c r="M22" s="294">
        <f>MAX(D22:J22)</f>
        <v>1.03</v>
      </c>
      <c r="N22" s="295" t="s">
        <v>261</v>
      </c>
      <c r="O22" s="290" t="s">
        <v>260</v>
      </c>
      <c r="P22" s="284"/>
    </row>
    <row r="29" spans="1:16">
      <c r="M29" s="30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Bemerkungen</vt:lpstr>
      <vt:lpstr>Info</vt:lpstr>
      <vt:lpstr>Netzbetreiber</vt:lpstr>
      <vt:lpstr>SLP-Verfahren</vt:lpstr>
      <vt:lpstr>SLP-Temperatur-Gebiet # 1</vt:lpstr>
      <vt:lpstr>SLP-Profile</vt:lpstr>
      <vt:lpstr>SLP-Feiertage</vt:lpstr>
      <vt:lpstr>BDEW-Standard</vt:lpstr>
      <vt:lpstr>Wochentag F(WT)</vt:lpstr>
      <vt:lpstr>'Wochentag F(WT)'!Druckbereich</vt:lpstr>
      <vt:lpstr>Wochentags_Faktoren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C5725</cp:lastModifiedBy>
  <cp:lastPrinted>2015-03-20T22:59:10Z</cp:lastPrinted>
  <dcterms:created xsi:type="dcterms:W3CDTF">2015-01-15T05:25:41Z</dcterms:created>
  <dcterms:modified xsi:type="dcterms:W3CDTF">2015-09-22T08:02:10Z</dcterms:modified>
</cp:coreProperties>
</file>