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esg\projekte\_Team EDM\0_EWS\00_GAS\GPT\"/>
    </mc:Choice>
  </mc:AlternateContent>
  <xr:revisionPtr revIDLastSave="0" documentId="13_ncr:1_{A4F936FA-1F21-4CAD-89B2-6C748B6ED338}" xr6:coauthVersionLast="36" xr6:coauthVersionMax="36" xr10:uidLastSave="{00000000-0000-0000-0000-000000000000}"/>
  <bookViews>
    <workbookView xWindow="-105" yWindow="-105" windowWidth="19425" windowHeight="10425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W17" i="7" l="1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H17" i="7"/>
  <c r="Q17" i="7" s="1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H16" i="7"/>
  <c r="Q16" i="7" s="1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H15" i="7"/>
  <c r="Q15" i="7" s="1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Q13" i="7" s="1"/>
  <c r="H13" i="7"/>
  <c r="W12" i="7"/>
  <c r="V12" i="7"/>
  <c r="U12" i="7"/>
  <c r="T12" i="7"/>
  <c r="S12" i="7"/>
  <c r="R12" i="7"/>
  <c r="X12" i="7" s="1"/>
  <c r="P12" i="7"/>
  <c r="O12" i="7"/>
  <c r="N12" i="7"/>
  <c r="M12" i="7"/>
  <c r="L12" i="7"/>
  <c r="K12" i="7"/>
  <c r="J12" i="7"/>
  <c r="I12" i="7"/>
  <c r="H12" i="7"/>
  <c r="Q12" i="7" s="1"/>
  <c r="F17" i="7"/>
  <c r="F16" i="7"/>
  <c r="F15" i="7"/>
  <c r="F14" i="7"/>
  <c r="F13" i="7"/>
  <c r="F12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<sst xmlns="http://schemas.openxmlformats.org/spreadsheetml/2006/main" count="2365" uniqueCount="672">
  <si>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</si>
  <si>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</si>
  <si>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</si>
  <si>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</si>
  <si>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</si>
  <si>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</si>
  <si>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</si>
  <si>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</si>
  <si>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</si>
  <si>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</si>
  <si>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</si>
  <si>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</si>
  <si>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</si>
  <si>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</si>
  <si>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</si>
  <si>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</si>
  <si>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</si>
  <si>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</si>
  <si>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</si>
  <si>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</si>
  <si>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</si>
  <si>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</si>
  <si>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</si>
  <si>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</si>
  <si>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</si>
  <si>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</si>
  <si>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</si>
  <si>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</si>
  <si>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</si>
  <si>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</si>
  <si>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</si>
  <si>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</si>
  <si>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</si>
  <si>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</si>
  <si>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</si>
  <si>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</si>
  <si>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</si>
  <si>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</si>
  <si>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</si>
  <si>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</si>
  <si>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</si>
  <si>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</si>
  <si>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</si>
  <si>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</si>
  <si>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</si>
  <si>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</si>
  <si>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</si>
  <si>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</si>
  <si>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</si>
  <si>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</si>
  <si>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</si>
  <si>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</si>
  <si>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</si>
  <si>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</si>
  <si>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</si>
  <si>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</si>
  <si>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</si>
  <si>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</si>
  <si>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</si>
  <si>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</si>
  <si>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</si>
  <si>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</si>
  <si>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</si>
  <si>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</si>
  <si>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</si>
  <si>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</si>
  <si>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</si>
  <si>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</si>
  <si>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</si>
  <si>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</si>
  <si>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</si>
  <si>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</si>
  <si>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</si>
  <si>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</si>
  <si>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</si>
  <si>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</si>
  <si>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</si>
  <si>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</si>
  <si>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</si>
  <si>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</si>
  <si>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</si>
  <si>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</si>
  <si>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</si>
  <si>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</si>
  <si>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</si>
  <si>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</si>
  <si>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</si>
  <si>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</si>
  <si>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</si>
  <si>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</si>
  <si>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</si>
  <si>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</si>
  <si>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</si>
  <si>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</si>
  <si>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</si>
  <si>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</si>
  <si>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</si>
  <si>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</si>
  <si>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</si>
  <si>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</si>
  <si>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</si>
  <si>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</si>
  <si>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</si>
  <si>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</si>
  <si>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</si>
  <si>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</si>
  <si>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</si>
  <si>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</si>
  <si>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</si>
  <si>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</si>
  <si>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</si>
  <si>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</si>
  <si>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</si>
  <si>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</si>
  <si>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</si>
  <si>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</si>
  <si>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</si>
  <si>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</si>
  <si>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</si>
  <si>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</si>
  <si>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</si>
  <si>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</si>
  <si>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</si>
  <si>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</si>
  <si>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</si>
  <si>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</si>
  <si>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</si>
  <si>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</si>
  <si>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</si>
  <si>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</si>
  <si>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</si>
  <si>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</si>
  <si>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</si>
  <si>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</si>
  <si>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</si>
  <si>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</si>
  <si>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</si>
  <si>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</si>
  <si>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</si>
  <si>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</si>
  <si>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</si>
  <si>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</si>
  <si>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</si>
  <si>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</si>
  <si>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</si>
  <si>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</si>
  <si>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</si>
  <si>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</si>
  <si>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</si>
  <si>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</si>
  <si>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</si>
  <si>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</si>
  <si>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</si>
  <si>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</si>
  <si>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</si>
  <si>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</si>
  <si>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</si>
  <si>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</si>
  <si>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</si>
  <si>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</si>
  <si>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</si>
  <si>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</si>
  <si>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</si>
  <si>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</si>
  <si>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</si>
  <si>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</si>
  <si>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</si>
  <si>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</si>
  <si>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</si>
  <si>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</si>
  <si>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</si>
  <si>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</si>
  <si>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</si>
  <si>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</si>
  <si>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</si>
  <si>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</si>
  <si>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</si>
  <si>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</si>
  <si>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</si>
  <si>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</si>
  <si>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</si>
  <si>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</si>
  <si>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</si>
  <si>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</si>
  <si>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</si>
  <si>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</si>
  <si>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</si>
  <si>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</si>
  <si>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</si>
  <si>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</si>
  <si>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</si>
  <si>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</si>
  <si>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</si>
  <si>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</si>
  <si>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</si>
  <si>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</si>
  <si>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</si>
  <si>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</si>
  <si>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</si>
  <si>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</si>
  <si>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</si>
  <si>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</si>
  <si>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</si>
  <si>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</si>
  <si>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</si>
  <si>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</si>
  <si>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</si>
  <si>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</si>
  <si>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</si>
  <si>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</si>
  <si>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</si>
  <si>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</si>
  <si>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</si>
  <si>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</si>
  <si>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</si>
  <si>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</si>
  <si>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</si>
  <si>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</si>
  <si>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</si>
  <si>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</si>
  <si>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</si>
  <si>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</si>
  <si>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</si>
  <si>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</si>
  <si>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</si>
  <si>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</si>
  <si>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</si>
  <si>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</si>
  <si>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</si>
  <si>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</si>
  <si>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</si>
  <si>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</si>
  <si>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</si>
  <si>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</si>
  <si>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</si>
  <si>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</si>
  <si>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</si>
  <si>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</si>
  <si>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</si>
  <si>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</si>
  <si>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</si>
  <si>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</si>
  <si>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</si>
  <si>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</si>
  <si>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</si>
  <si>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</si>
  <si>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</si>
  <si>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</si>
  <si>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</si>
  <si>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</si>
  <si>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</si>
  <si>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</si>
  <si>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</si>
  <si>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</si>
  <si>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</si>
  <si>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</si>
  <si>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</si>
  <si>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</si>
  <si>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</si>
  <si>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</si>
  <si>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</si>
  <si>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</si>
  <si>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</si>
  <si>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</si>
  <si>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</si>
  <si>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</si>
  <si>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</si>
  <si>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</si>
  <si>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</si>
  <si>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</si>
  <si>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</si>
  <si>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</si>
  <si>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</si>
  <si>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</si>
  <si>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</si>
  <si>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</si>
  <si>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</si>
  <si>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</si>
  <si>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</si>
  <si>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</si>
  <si>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</si>
  <si>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</si>
  <si>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</si>
  <si>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</si>
  <si>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</si>
  <si>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</si>
  <si>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</si>
  <si>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</si>
  <si>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</si>
  <si>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</si>
  <si>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</si>
  <si>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</si>
  <si>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</si>
  <si>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</si>
  <si>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</si>
  <si>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</si>
  <si>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</si>
  <si>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</si>
  <si>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</si>
  <si>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</si>
  <si>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</si>
  <si>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</si>
  <si>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</si>
  <si>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</si>
  <si>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</si>
  <si>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</si>
  <si>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</si>
  <si>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</si>
  <si>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</si>
  <si>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</si>
  <si>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</si>
  <si>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</si>
  <si>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</si>
  <si>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</si>
  <si>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</si>
  <si>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</si>
  <si>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</si>
  <si>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</si>
  <si>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</si>
  <si>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</si>
  <si>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</si>
  <si>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</si>
  <si>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</si>
  <si>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</si>
  <si>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</si>
  <si>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</si>
  <si>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</si>
  <si>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</si>
  <si>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</si>
  <si>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</si>
  <si>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</si>
  <si>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</si>
  <si>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</si>
  <si>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</si>
  <si>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</si>
  <si>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</si>
  <si>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</si>
  <si>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</si>
  <si>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</si>
  <si>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</si>
  <si>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</si>
  <si>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</si>
  <si>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</si>
  <si>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</si>
  <si>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</si>
  <si>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</si>
  <si>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</si>
  <si>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</si>
  <si>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</si>
  <si>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</si>
  <si>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</si>
  <si>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</si>
  <si>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</si>
  <si>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</si>
  <si>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</si>
  <si>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</si>
  <si>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</si>
  <si>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</si>
  <si>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</si>
  <si>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</si>
  <si>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</si>
  <si>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</si>
  <si>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</si>
  <si>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</si>
  <si>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</si>
  <si>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</si>
  <si>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</si>
  <si>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</si>
  <si>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</si>
  <si>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</si>
  <si>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</si>
  <si>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</si>
  <si>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</si>
  <si>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</si>
  <si>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</si>
  <si>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</si>
  <si>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</si>
  <si>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</si>
  <si>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</si>
  <si>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</si>
  <si>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</si>
  <si>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</si>
  <si>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</si>
  <si>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</si>
  <si>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</si>
  <si>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</si>
  <si>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</si>
  <si>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</si>
  <si>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</si>
  <si>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</si>
  <si>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</si>
  <si>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</si>
  <si>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</si>
  <si>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</si>
  <si>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</si>
  <si>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</si>
  <si>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</si>
  <si>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</si>
  <si>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</si>
  <si>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</si>
  <si>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</si>
  <si>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</si>
  <si>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</si>
  <si>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</si>
  <si>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</si>
  <si>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</si>
  <si>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</si>
  <si>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</si>
  <si>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</si>
  <si>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</si>
  <si>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</si>
  <si>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</si>
  <si>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</si>
  <si>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</si>
  <si>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</si>
  <si>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</si>
  <si>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</si>
  <si>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</si>
  <si>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</si>
  <si>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</si>
  <si>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</si>
  <si>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</si>
  <si>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</si>
  <si>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</si>
  <si>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</si>
  <si>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</si>
  <si>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</si>
  <si>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</si>
  <si>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</si>
  <si>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</si>
  <si>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</si>
  <si>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</si>
  <si>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</si>
  <si>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</si>
  <si>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</si>
  <si>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</si>
  <si>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</si>
  <si>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</si>
  <si>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</si>
  <si>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</si>
  <si>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</si>
  <si>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</si>
  <si>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</si>
  <si>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</si>
  <si>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</si>
  <si>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</si>
  <si>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</si>
  <si>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</si>
  <si>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</si>
  <si>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</si>
  <si>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</si>
  <si>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</si>
  <si>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</si>
  <si>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</si>
  <si>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</si>
  <si>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</si>
  <si>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</si>
  <si>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</si>
  <si>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</si>
  <si>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</si>
  <si>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</si>
  <si>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</si>
  <si>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</si>
  <si>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</si>
  <si>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</si>
  <si>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</si>
  <si>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</si>
  <si>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</si>
  <si>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</si>
  <si>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</si>
  <si>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</si>
  <si>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</si>
  <si>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</si>
  <si>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</si>
  <si>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</si>
  <si>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</si>
  <si>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</si>
  <si>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</si>
  <si>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</si>
  <si>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</si>
  <si>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</si>
  <si>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</si>
  <si>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</si>
  <si>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</si>
  <si>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</si>
  <si>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</si>
  <si>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</si>
  <si>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</si>
  <si>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</si>
  <si>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</si>
  <si>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</si>
  <si>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</si>
  <si>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</si>
  <si>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</si>
  <si>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</si>
  <si>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</si>
  <si>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</si>
  <si>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</si>
  <si>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</si>
  <si>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</si>
  <si>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</si>
  <si>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</si>
  <si>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</si>
  <si>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</si>
  <si>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</si>
  <si>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</si>
  <si>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</si>
  <si>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</si>
  <si>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</si>
  <si>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</si>
  <si>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</si>
  <si>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</si>
  <si>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</si>
  <si>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</si>
  <si>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</si>
  <si>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</si>
  <si>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</si>
  <si>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</si>
  <si>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</si>
  <si>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</si>
  <si>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</si>
  <si>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</si>
  <si>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</si>
  <si>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</si>
  <si>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</si>
  <si>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</si>
  <si>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</si>
  <si>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</si>
  <si>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</si>
  <si>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</si>
  <si>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</si>
  <si>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</si>
  <si>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</si>
  <si>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</si>
  <si>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</si>
  <si>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</si>
  <si>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</si>
  <si>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</si>
  <si>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</si>
  <si>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</si>
  <si>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</si>
  <si>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</si>
  <si>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</si>
  <si>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</si>
  <si>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</si>
  <si>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</si>
  <si>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</si>
  <si>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</si>
  <si>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</si>
  <si>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</si>
  <si>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</si>
  <si>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</si>
  <si>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</si>
  <si>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</si>
  <si>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</si>
  <si>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</si>
  <si>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</si>
  <si>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</si>
  <si>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</si>
  <si>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</si>
  <si>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</si>
  <si>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</si>
  <si>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</si>
  <si>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</si>
  <si>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</si>
  <si>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</si>
  <si>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</si>
  <si>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</si>
  <si>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</si>
  <si>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</si>
  <si>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</si>
  <si>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</si>
  <si>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</si>
  <si>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</si>
  <si>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</si>
  <si>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</si>
  <si>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</si>
  <si>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</si>
  <si>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</si>
  <si>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</si>
  <si>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</si>
  <si>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</si>
  <si>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</si>
  <si>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</si>
  <si>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</si>
  <si>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</si>
  <si>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</si>
  <si>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</si>
  <si>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</si>
  <si>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</si>
  <si>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</si>
  <si>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</si>
  <si>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</si>
  <si>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</si>
  <si>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</si>
  <si>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</si>
  <si>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</si>
  <si>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</si>
  <si>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</si>
  <si>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</si>
  <si>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</si>
  <si>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</si>
  <si>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</si>
  <si>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</si>
  <si>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</si>
  <si>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</si>
  <si>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</si>
  <si>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</si>
  <si>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</si>
  <si>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</si>
  <si>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</si>
  <si>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</si>
  <si>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</si>
  <si>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</si>
  <si>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</si>
  <si>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</si>
  <si>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</si>
  <si>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</si>
  <si>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</si>
  <si>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</si>
  <si>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</si>
  <si>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</si>
  <si>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</si>
  <si>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</si>
  <si>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</si>
  <si>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</si>
  <si>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</si>
  <si>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</si>
  <si>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</si>
  <si>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</si>
  <si>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</si>
  <si>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</si>
  <si>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</si>
  <si>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</si>
  <si>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</si>
  <si>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</si>
  <si>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</si>
  <si>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</si>
  <si>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</si>
  <si>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</si>
  <si>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</si>
  <si>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</si>
  <si>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</si>
  <si>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</si>
  <si>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</si>
  <si>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</si>
  <si>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</si>
  <si>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</si>
  <si>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</si>
  <si>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</si>
  <si>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</si>
  <si>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</si>
  <si>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</si>
  <si>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</si>
  <si>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</si>
  <si>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ews Netz GmbH</t>
  </si>
  <si>
    <t>Am Wasserwerk 5</t>
  </si>
  <si>
    <t>Bad Segeberg</t>
  </si>
  <si>
    <t>Tobias Lietz</t>
  </si>
  <si>
    <t>t.lietz@evuservices.de</t>
  </si>
  <si>
    <t>04321 4990 380</t>
  </si>
  <si>
    <t>EWS Netz</t>
  </si>
  <si>
    <t>9870105600000</t>
  </si>
  <si>
    <t>THE0NKH701056000</t>
  </si>
  <si>
    <t>Quickborn</t>
  </si>
  <si>
    <t>DE_GKO04</t>
  </si>
  <si>
    <t>DE_HEF05</t>
  </si>
  <si>
    <t>DE_GHA04</t>
  </si>
  <si>
    <t>DE_GMK04</t>
  </si>
  <si>
    <t>DE_HMF05</t>
  </si>
  <si>
    <t xml:space="preserve">Schleswig-Holstein  </t>
  </si>
  <si>
    <r>
      <t xml:space="preserve"> </t>
    </r>
    <r>
      <rPr>
        <sz val="10"/>
        <rFont val="Arial"/>
        <family val="2"/>
      </rPr>
      <t xml:space="preserve">SH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</si>
</sst>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12" fillId="0" borderId="0" xfId="3" quotePrefix="1" applyFont="1" applyFill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horizontal="center" vertical="center"/>
      <protection locked="0"/>
    </xf>
    <xf numFmtId="190" fontId="0" fillId="64" borderId="0" xfId="0" applyNumberFormat="1" applyFont="1" applyFill="1" applyBorder="1" applyAlignment="1" applyProtection="1">
      <alignment horizontal="center" vertical="center"/>
      <protection locked="0"/>
    </xf>
    <xf numFmtId="168" fontId="0" fillId="64" borderId="0" xfId="0" applyNumberFormat="1" applyFont="1" applyFill="1" applyBorder="1" applyAlignment="1" applyProtection="1">
      <alignment horizontal="center" vertical="center"/>
      <protection locked="0"/>
    </xf>
    <xf numFmtId="192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77" borderId="54" xfId="0" applyFont="1" applyFill="1" applyBorder="1" applyAlignment="1" applyProtection="1">
      <alignment horizontal="center" vertical="center"/>
    </xf>
    <xf numFmtId="0" fontId="12" fillId="77" borderId="64" xfId="0" applyFont="1" applyFill="1" applyBorder="1" applyAlignment="1" applyProtection="1">
      <alignment horizontal="center" textRotation="90" wrapText="1"/>
    </xf>
    <xf numFmtId="0" fontId="0" fillId="77" borderId="25" xfId="0" applyFont="1" applyFill="1" applyBorder="1" applyAlignment="1" applyProtection="1">
      <alignment horizontal="center" vertical="center"/>
    </xf>
    <xf numFmtId="0" fontId="0" fillId="77" borderId="17" xfId="0" applyFont="1" applyFill="1" applyBorder="1" applyAlignment="1" applyProtection="1">
      <alignment horizontal="center" vertical="center"/>
    </xf>
    <xf numFmtId="0" fontId="0" fillId="77" borderId="49" xfId="0" applyFont="1" applyFill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87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WS_EKN-Auftrag_2015-011_KoV_VIII_Endfassung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merkungen"/>
      <sheetName val="Info"/>
      <sheetName val="Netzbetreiber"/>
      <sheetName val="SLP-Verfahren"/>
      <sheetName val="SLP-Temperatur-Gebiet # 1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1.1161404945928199</v>
          </cell>
          <cell r="F7">
            <v>-37.412415490000001</v>
          </cell>
          <cell r="G7">
            <v>6.1723178729999999</v>
          </cell>
          <cell r="H7">
            <v>3.2005710392233197E-2</v>
          </cell>
          <cell r="I7">
            <v>40</v>
          </cell>
          <cell r="J7">
            <v>-7.4798127735256903E-2</v>
          </cell>
          <cell r="K7">
            <v>1.25835515399307</v>
          </cell>
          <cell r="L7">
            <v>-2.2609534480547999E-3</v>
          </cell>
          <cell r="M7">
            <v>0.173141235638753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0.84822097350275205</v>
          </cell>
          <cell r="F12">
            <v>-35.033375419999999</v>
          </cell>
          <cell r="G12">
            <v>6.224063396</v>
          </cell>
          <cell r="H12">
            <v>4.0846779744687103E-2</v>
          </cell>
          <cell r="I12">
            <v>40</v>
          </cell>
          <cell r="J12">
            <v>-5.9839926223733901E-2</v>
          </cell>
          <cell r="K12">
            <v>1.1302267329556701</v>
          </cell>
          <cell r="L12">
            <v>-2.4758720772617799E-3</v>
          </cell>
          <cell r="M12">
            <v>0.21113754033454901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1.0689964636299001</v>
          </cell>
          <cell r="F20">
            <v>-35.871506220000001</v>
          </cell>
          <cell r="G20">
            <v>7.5186828869999998</v>
          </cell>
          <cell r="H20">
            <v>1.41252035652169E-2</v>
          </cell>
          <cell r="I20">
            <v>40</v>
          </cell>
          <cell r="J20">
            <v>-8.3582813319919402E-2</v>
          </cell>
          <cell r="K20">
            <v>1.33638972689953</v>
          </cell>
          <cell r="L20">
            <v>-1.0123334710651301E-3</v>
          </cell>
          <cell r="M20">
            <v>7.6761045119226101E-2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1.4618402061656499</v>
          </cell>
          <cell r="F27">
            <v>-37.82820366</v>
          </cell>
          <cell r="G27">
            <v>8.1593368759999994</v>
          </cell>
          <cell r="H27">
            <v>2.0635135270013101E-2</v>
          </cell>
          <cell r="I27">
            <v>40</v>
          </cell>
          <cell r="J27">
            <v>-0.116180540903633</v>
          </cell>
          <cell r="K27">
            <v>1.6114790203783</v>
          </cell>
          <cell r="L27">
            <v>-5.4764408643845201E-4</v>
          </cell>
          <cell r="M27">
            <v>8.9788246220285806E-2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1.1442934127386</v>
          </cell>
          <cell r="F34">
            <v>-36.659050409999999</v>
          </cell>
          <cell r="G34">
            <v>7.6083226159999997</v>
          </cell>
          <cell r="H34">
            <v>2.9787112068823101E-2</v>
          </cell>
          <cell r="I34">
            <v>40</v>
          </cell>
          <cell r="J34">
            <v>-8.8937869730380897E-2</v>
          </cell>
          <cell r="K34">
            <v>1.3815917323323399</v>
          </cell>
          <cell r="L34">
            <v>-8.5776492780071105E-4</v>
          </cell>
          <cell r="M34">
            <v>0.13122420309427399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1.2203330380374799</v>
          </cell>
          <cell r="F41">
            <v>-37.5</v>
          </cell>
          <cell r="G41">
            <v>6.8</v>
          </cell>
          <cell r="H41">
            <v>2.3786249301809798E-2</v>
          </cell>
          <cell r="I41">
            <v>40</v>
          </cell>
          <cell r="J41">
            <v>-8.7161027012782805E-2</v>
          </cell>
          <cell r="K41">
            <v>1.3637969491326001</v>
          </cell>
          <cell r="L41">
            <v>-1.4796273845085E-3</v>
          </cell>
          <cell r="M41">
            <v>0.123859983206355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0.95531282382357197</v>
          </cell>
          <cell r="F48">
            <v>-36</v>
          </cell>
          <cell r="G48">
            <v>7.7368517680000002</v>
          </cell>
          <cell r="H48">
            <v>6.3947100080182603E-2</v>
          </cell>
          <cell r="I48">
            <v>40</v>
          </cell>
          <cell r="J48">
            <v>-7.5790918655094297E-2</v>
          </cell>
          <cell r="K48">
            <v>1.2684538030003001</v>
          </cell>
          <cell r="L48">
            <v>-7.4406792735166297E-4</v>
          </cell>
          <cell r="M48">
            <v>0.25537543055426098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0.80275605542124795</v>
          </cell>
          <cell r="F55">
            <v>-35.253212349999998</v>
          </cell>
          <cell r="G55">
            <v>6.0587000719999997</v>
          </cell>
          <cell r="H55">
            <v>6.4521744678650794E-2</v>
          </cell>
          <cell r="I55">
            <v>40</v>
          </cell>
          <cell r="J55">
            <v>-5.5392539134702198E-2</v>
          </cell>
          <cell r="K55">
            <v>1.0917026872526401</v>
          </cell>
          <cell r="L55">
            <v>-2.54079840850727E-3</v>
          </cell>
          <cell r="M55">
            <v>0.30063135632487697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0.24062326477305401</v>
          </cell>
          <cell r="F62">
            <v>-35.299999999999997</v>
          </cell>
          <cell r="G62">
            <v>4.8662746830000003</v>
          </cell>
          <cell r="H62">
            <v>0.186664548079399</v>
          </cell>
          <cell r="I62">
            <v>40</v>
          </cell>
          <cell r="J62">
            <v>-1.4241798308652E-2</v>
          </cell>
          <cell r="K62">
            <v>0.57500530017156104</v>
          </cell>
          <cell r="L62">
            <v>-1.74346424120641E-3</v>
          </cell>
          <cell r="M62">
            <v>0.73516860608386403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1.30504251171805</v>
          </cell>
          <cell r="F69">
            <v>-37.88253684</v>
          </cell>
          <cell r="G69">
            <v>6.9836070289999999</v>
          </cell>
          <cell r="H69">
            <v>2.3838423683346901E-2</v>
          </cell>
          <cell r="I69">
            <v>40</v>
          </cell>
          <cell r="J69">
            <v>-9.4170628677895399E-2</v>
          </cell>
          <cell r="K69">
            <v>1.42242465833964</v>
          </cell>
          <cell r="L69">
            <v>-1.27226205238746E-3</v>
          </cell>
          <cell r="M69">
            <v>0.119077005795444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0.21874527515984199</v>
          </cell>
          <cell r="F76">
            <v>-33.35</v>
          </cell>
          <cell r="G76">
            <v>5.7212302499999996</v>
          </cell>
          <cell r="H76">
            <v>0.18756040048421599</v>
          </cell>
          <cell r="I76">
            <v>40</v>
          </cell>
          <cell r="J76">
            <v>-1.50993082068377E-2</v>
          </cell>
          <cell r="K76">
            <v>0.58904581428757896</v>
          </cell>
          <cell r="L76">
            <v>-1.2051664721263501E-3</v>
          </cell>
          <cell r="M76">
            <v>0.72557691141526304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1.4749741539543499</v>
          </cell>
          <cell r="F83">
            <v>-37</v>
          </cell>
          <cell r="G83">
            <v>10.2405021</v>
          </cell>
          <cell r="H83">
            <v>2.15726136911055E-2</v>
          </cell>
          <cell r="I83">
            <v>40</v>
          </cell>
          <cell r="J83">
            <v>-0.13303148778398399</v>
          </cell>
          <cell r="K83">
            <v>1.7706762963629701</v>
          </cell>
          <cell r="L83">
            <v>-1.2124426757926E-4</v>
          </cell>
          <cell r="M83">
            <v>8.3036713274579801E-2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0.84822097350275205</v>
          </cell>
          <cell r="F90">
            <v>-35.033375419999999</v>
          </cell>
          <cell r="G90">
            <v>6.224063396</v>
          </cell>
          <cell r="H90">
            <v>4.0846779744687103E-2</v>
          </cell>
          <cell r="I90">
            <v>40</v>
          </cell>
          <cell r="J90">
            <v>-5.9839926223733901E-2</v>
          </cell>
          <cell r="K90">
            <v>1.1302267329556701</v>
          </cell>
          <cell r="L90">
            <v>-2.4758720772617799E-3</v>
          </cell>
          <cell r="M90">
            <v>0.21113754033454901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1.01331045435784</v>
          </cell>
          <cell r="F94">
            <v>-36.607845269999999</v>
          </cell>
          <cell r="G94">
            <v>7.3211869529999998</v>
          </cell>
          <cell r="H94">
            <v>6.2635379175311104E-2</v>
          </cell>
          <cell r="I94">
            <v>40</v>
          </cell>
          <cell r="J94">
            <v>-7.6993090887333596E-2</v>
          </cell>
          <cell r="K94">
            <v>1.2777683335788199</v>
          </cell>
          <cell r="L94">
            <v>-9.6250192529067605E-4</v>
          </cell>
          <cell r="M94">
            <v>0.25574574028670299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335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494</v>
      </c>
    </row>
    <row r="12" spans="2:7" s="8" customFormat="1">
      <c r="B12" s="8" t="s">
        <v>495</v>
      </c>
    </row>
    <row r="13" spans="2:7" s="8" customFormat="1">
      <c r="B13" s="8" t="s">
        <v>503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498</v>
      </c>
      <c r="D4" s="27">
        <v>44562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499</v>
      </c>
      <c r="D6" s="27">
        <v>44562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480</v>
      </c>
      <c r="D11" s="367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23795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481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455</v>
      </c>
      <c r="D27" s="42" t="s">
        <v>392</v>
      </c>
      <c r="E27" s="39"/>
      <c r="F27" s="11"/>
    </row>
    <row r="28" spans="1:15">
      <c r="B28" s="15"/>
      <c r="C28" s="66" t="s">
        <v>497</v>
      </c>
      <c r="D28" s="48" t="str">
        <f>IF(D27&lt;&gt;C28,VLOOKUP(D27,$C$29:$D$48,2,FALSE),C28)</f>
        <v>EWS Netz</v>
      </c>
      <c r="E28" s="38"/>
      <c r="F28" s="11"/>
      <c r="G28" s="2"/>
    </row>
    <row r="29" spans="1:15">
      <c r="B29" s="15"/>
      <c r="C29" s="22" t="s">
        <v>392</v>
      </c>
      <c r="D29" s="45" t="s">
        <v>661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86" priority="2">
      <formula>IF(CELL("Zeile",D29)&lt;$D$25+CELL("Zeile",$D$29),1,0)</formula>
    </cfRule>
  </conditionalFormatting>
  <conditionalFormatting sqref="D30:D48">
    <cfRule type="expression" dxfId="8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441</v>
      </c>
      <c r="D5" s="58" t="str">
        <f>Netzbetreiber!$D$9</f>
        <v>ews Netz GmbH</v>
      </c>
      <c r="H5" s="68"/>
      <c r="I5" s="68"/>
      <c r="J5" s="68"/>
      <c r="K5" s="68"/>
    </row>
    <row r="6" spans="2:15" ht="15" customHeight="1">
      <c r="B6" s="22"/>
      <c r="C6" s="62" t="s">
        <v>440</v>
      </c>
      <c r="D6" s="58" t="str">
        <f>Netzbetreiber!D28</f>
        <v>EWS Netz</v>
      </c>
      <c r="E6" s="15"/>
      <c r="H6" s="68"/>
      <c r="I6" s="68"/>
      <c r="J6" s="68"/>
      <c r="K6" s="68"/>
    </row>
    <row r="7" spans="2:15" ht="15" customHeight="1">
      <c r="B7" s="22"/>
      <c r="C7" s="60" t="s">
        <v>483</v>
      </c>
      <c r="D7" s="61" t="str">
        <f>Netzbetreiber!$D$11</f>
        <v>9870105600000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44562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613</v>
      </c>
      <c r="D11" s="33" t="s">
        <v>614</v>
      </c>
      <c r="E11" s="15"/>
      <c r="H11" s="277" t="s">
        <v>614</v>
      </c>
      <c r="I11" s="277" t="s">
        <v>615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651</v>
      </c>
      <c r="D13" s="42" t="s">
        <v>663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573</v>
      </c>
      <c r="I16" s="276" t="s">
        <v>484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485</v>
      </c>
      <c r="I17" s="276" t="s">
        <v>486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611</v>
      </c>
      <c r="D19" s="49" t="s">
        <v>607</v>
      </c>
      <c r="E19" s="15"/>
      <c r="H19" s="273" t="s">
        <v>607</v>
      </c>
      <c r="I19" s="273" t="s">
        <v>608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609</v>
      </c>
      <c r="E20" s="15"/>
      <c r="H20" s="273" t="s">
        <v>610</v>
      </c>
      <c r="I20" s="8" t="s">
        <v>606</v>
      </c>
      <c r="J20" s="8"/>
      <c r="K20" s="8"/>
      <c r="L20" s="274"/>
    </row>
    <row r="21" spans="2:16" ht="15" customHeight="1">
      <c r="B21" s="22"/>
      <c r="C21" s="24" t="s">
        <v>612</v>
      </c>
      <c r="D21" s="24" t="str">
        <f>IF(D19=$H$19,L21,IF(D20=$H$21,M21,N21))</f>
        <v>=&gt;  Q(D) = KW  x  h(T, SLP-Typ)  x  F(WT)</v>
      </c>
      <c r="E21" s="15"/>
      <c r="H21" s="273" t="s">
        <v>609</v>
      </c>
      <c r="I21" s="273" t="s">
        <v>616</v>
      </c>
      <c r="J21" s="8"/>
      <c r="K21" s="8"/>
      <c r="L21" s="276" t="s">
        <v>617</v>
      </c>
      <c r="M21" s="276" t="s">
        <v>619</v>
      </c>
      <c r="N21" s="276" t="s">
        <v>618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576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620</v>
      </c>
      <c r="D24" s="42" t="s">
        <v>621</v>
      </c>
      <c r="E24" s="15"/>
      <c r="H24" s="309" t="s">
        <v>621</v>
      </c>
      <c r="I24" s="275" t="s">
        <v>622</v>
      </c>
      <c r="J24" s="275" t="s">
        <v>623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624</v>
      </c>
      <c r="I25" s="276" t="s">
        <v>625</v>
      </c>
      <c r="J25" s="276" t="s">
        <v>626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627</v>
      </c>
      <c r="I26" s="276" t="s">
        <v>628</v>
      </c>
      <c r="J26" s="276" t="s">
        <v>629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575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630</v>
      </c>
      <c r="I29" s="276" t="s">
        <v>631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632</v>
      </c>
      <c r="I30" s="273" t="s">
        <v>627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489</v>
      </c>
      <c r="C32" s="24" t="s">
        <v>491</v>
      </c>
      <c r="D32" s="269">
        <v>6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547</v>
      </c>
      <c r="C34" s="5" t="s">
        <v>363</v>
      </c>
      <c r="D34" s="34">
        <v>1500000</v>
      </c>
      <c r="E34" s="15" t="s">
        <v>504</v>
      </c>
      <c r="I34" s="273"/>
      <c r="J34" s="273"/>
      <c r="K34" s="273"/>
      <c r="L34" s="273"/>
      <c r="M34" s="274"/>
    </row>
    <row r="35" spans="2:39" customFormat="1" ht="15" customHeight="1">
      <c r="C35" s="8" t="s">
        <v>487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548</v>
      </c>
      <c r="C37" s="5" t="s">
        <v>364</v>
      </c>
      <c r="D37" s="36">
        <v>500</v>
      </c>
      <c r="E37" s="15" t="s">
        <v>539</v>
      </c>
      <c r="H37" s="68"/>
      <c r="I37" s="68"/>
      <c r="J37" s="68"/>
      <c r="K37" s="68"/>
    </row>
    <row r="38" spans="2:39" ht="15" customHeight="1">
      <c r="C38" s="8" t="s">
        <v>488</v>
      </c>
    </row>
    <row r="39" spans="2:39" ht="15" customHeight="1">
      <c r="B39" s="7"/>
      <c r="C39" s="3"/>
    </row>
    <row r="40" spans="2:39" ht="15" customHeight="1">
      <c r="B40" s="7"/>
      <c r="C40" s="3" t="s">
        <v>538</v>
      </c>
    </row>
    <row r="41" spans="2:39" ht="18" customHeight="1">
      <c r="C41" s="3" t="s">
        <v>540</v>
      </c>
    </row>
    <row r="42" spans="2:39" ht="18" customHeight="1">
      <c r="C42" s="3"/>
    </row>
    <row r="43" spans="2:39" ht="15" customHeight="1">
      <c r="B43" s="22" t="s">
        <v>549</v>
      </c>
      <c r="C43" s="60" t="s">
        <v>574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584</v>
      </c>
      <c r="D45" s="45" t="s">
        <v>664</v>
      </c>
    </row>
    <row r="46" spans="2:39" ht="18" customHeight="1">
      <c r="C46" s="22" t="s">
        <v>585</v>
      </c>
      <c r="D46" s="45"/>
    </row>
    <row r="47" spans="2:39" ht="18" customHeight="1">
      <c r="C47" s="22" t="s">
        <v>586</v>
      </c>
      <c r="D47" s="45"/>
    </row>
    <row r="48" spans="2:39" ht="18" customHeight="1">
      <c r="C48" s="22" t="s">
        <v>587</v>
      </c>
      <c r="D48" s="45"/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</sheetData>
  <conditionalFormatting sqref="D13">
    <cfRule type="expression" dxfId="84" priority="20">
      <formula>IF(#REF!="Gaspool",1,0)</formula>
    </cfRule>
  </conditionalFormatting>
  <conditionalFormatting sqref="D45:D59">
    <cfRule type="expression" dxfId="83" priority="16">
      <formula>IF(CELL("Zeile",D45)&lt;$D$43+CELL("Zeile",$D$45),1,0)</formula>
    </cfRule>
  </conditionalFormatting>
  <conditionalFormatting sqref="D46:D59">
    <cfRule type="expression" dxfId="82" priority="15">
      <formula>IF(CELL(D46)&lt;$D$33+27,1,0)</formula>
    </cfRule>
  </conditionalFormatting>
  <conditionalFormatting sqref="D20">
    <cfRule type="expression" dxfId="81" priority="14">
      <formula>IF($D$19=$H$19,1,0)</formula>
    </cfRule>
  </conditionalFormatting>
  <conditionalFormatting sqref="D28">
    <cfRule type="expression" dxfId="80" priority="3">
      <formula>IF($D$15="synthetisch",1,0)</formula>
    </cfRule>
  </conditionalFormatting>
  <conditionalFormatting sqref="D25">
    <cfRule type="expression" dxfId="79" priority="1">
      <formula>IF(AND($D$24=$I$24,$D$23=$H$23),1,0)</formula>
    </cfRule>
  </conditionalFormatting>
  <conditionalFormatting sqref="D23:D25">
    <cfRule type="expression" dxfId="78" priority="4">
      <formula>IF($D$15="analytisch",1,0)</formula>
    </cfRule>
  </conditionalFormatting>
  <conditionalFormatting sqref="D24">
    <cfRule type="expression" dxfId="7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N13" sqref="N13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542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655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EWS 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483</v>
      </c>
      <c r="D6" s="57"/>
      <c r="E6" s="368" t="s">
        <v>662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44562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493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520</v>
      </c>
      <c r="D9" s="131"/>
      <c r="E9" s="131"/>
      <c r="F9" s="155">
        <f>'SLP-Verfahren'!D43</f>
        <v>1</v>
      </c>
      <c r="H9" s="173" t="s">
        <v>599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583</v>
      </c>
      <c r="D10" s="131"/>
      <c r="E10" s="131"/>
      <c r="F10" s="300">
        <v>1</v>
      </c>
      <c r="G10" s="57"/>
      <c r="H10" s="173" t="s">
        <v>600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601</v>
      </c>
      <c r="D11" s="131"/>
      <c r="E11" s="131"/>
      <c r="F11" s="297" t="str">
        <f>INDEX('SLP-Verfahren'!D45:D59,'SLP-Temp-Gebiet #01'!F10)</f>
        <v>Quickborn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582</v>
      </c>
      <c r="D13" s="352"/>
      <c r="E13" s="352"/>
      <c r="F13" s="184" t="s">
        <v>546</v>
      </c>
      <c r="G13" s="131" t="s">
        <v>544</v>
      </c>
      <c r="H13" s="266" t="s">
        <v>561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444</v>
      </c>
      <c r="D14" s="353"/>
      <c r="E14" s="90" t="s">
        <v>445</v>
      </c>
      <c r="F14" s="267" t="s">
        <v>85</v>
      </c>
      <c r="G14" s="268" t="s">
        <v>570</v>
      </c>
      <c r="H14" s="51">
        <v>0</v>
      </c>
      <c r="I14" s="57"/>
      <c r="J14" s="131"/>
      <c r="K14" s="131"/>
      <c r="L14" s="131"/>
      <c r="M14" s="131"/>
      <c r="N14" s="131"/>
      <c r="O14" s="174" t="s">
        <v>525</v>
      </c>
      <c r="R14" s="210" t="s">
        <v>562</v>
      </c>
      <c r="S14" s="210" t="s">
        <v>563</v>
      </c>
      <c r="T14" s="210" t="s">
        <v>564</v>
      </c>
      <c r="U14" s="210" t="s">
        <v>565</v>
      </c>
      <c r="V14" s="210" t="s">
        <v>545</v>
      </c>
      <c r="W14" s="210" t="s">
        <v>566</v>
      </c>
      <c r="X14" s="210" t="s">
        <v>567</v>
      </c>
      <c r="Y14" s="210" t="s">
        <v>568</v>
      </c>
      <c r="Z14" s="210" t="s">
        <v>569</v>
      </c>
      <c r="AA14" s="210" t="s">
        <v>570</v>
      </c>
      <c r="AB14" s="210" t="s">
        <v>571</v>
      </c>
      <c r="AC14" s="210" t="s">
        <v>572</v>
      </c>
    </row>
    <row r="15" spans="1:56" ht="19.5" customHeight="1">
      <c r="B15" s="131"/>
      <c r="C15" s="353" t="s">
        <v>384</v>
      </c>
      <c r="D15" s="353"/>
      <c r="E15" s="90" t="s">
        <v>445</v>
      </c>
      <c r="F15" s="267" t="s">
        <v>71</v>
      </c>
      <c r="G15" s="268" t="s">
        <v>564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489</v>
      </c>
      <c r="AI15" s="265" t="s">
        <v>547</v>
      </c>
      <c r="AJ15" s="265" t="s">
        <v>548</v>
      </c>
      <c r="AK15" s="265" t="s">
        <v>549</v>
      </c>
      <c r="AL15" s="265" t="s">
        <v>550</v>
      </c>
      <c r="AM15" s="265" t="s">
        <v>551</v>
      </c>
      <c r="AN15" s="265" t="s">
        <v>552</v>
      </c>
      <c r="AO15" s="265" t="s">
        <v>553</v>
      </c>
      <c r="AP15" s="265" t="s">
        <v>554</v>
      </c>
      <c r="AQ15" s="265" t="s">
        <v>555</v>
      </c>
      <c r="AR15" s="265" t="s">
        <v>556</v>
      </c>
      <c r="AS15" s="265" t="s">
        <v>557</v>
      </c>
      <c r="AT15" s="265" t="s">
        <v>558</v>
      </c>
      <c r="AU15" s="265" t="s">
        <v>559</v>
      </c>
      <c r="AV15" s="265" t="s">
        <v>560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515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521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516</v>
      </c>
      <c r="D20" s="181" t="s">
        <v>511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523</v>
      </c>
      <c r="D21" s="154" t="s">
        <v>513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535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500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518</v>
      </c>
      <c r="D24" s="189"/>
      <c r="E24" s="157" t="s">
        <v>664</v>
      </c>
      <c r="F24" s="157" t="s">
        <v>580</v>
      </c>
      <c r="G24" s="157"/>
      <c r="H24" s="157"/>
      <c r="I24" s="157"/>
      <c r="J24" s="157"/>
      <c r="K24" s="157"/>
      <c r="L24" s="157"/>
      <c r="M24" s="157"/>
      <c r="N24" s="157"/>
      <c r="O24" s="186" t="s">
        <v>519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512</v>
      </c>
      <c r="D25" s="189"/>
      <c r="E25" s="161">
        <v>10146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654</v>
      </c>
      <c r="F26" s="157" t="s">
        <v>501</v>
      </c>
      <c r="G26" s="157" t="s">
        <v>501</v>
      </c>
      <c r="H26" s="157" t="s">
        <v>501</v>
      </c>
      <c r="I26" s="157" t="s">
        <v>501</v>
      </c>
      <c r="J26" s="157" t="s">
        <v>501</v>
      </c>
      <c r="K26" s="157" t="s">
        <v>501</v>
      </c>
      <c r="L26" s="157" t="s">
        <v>501</v>
      </c>
      <c r="M26" s="157" t="s">
        <v>501</v>
      </c>
      <c r="N26" s="157" t="s">
        <v>501</v>
      </c>
      <c r="O26" s="186" t="s">
        <v>142</v>
      </c>
      <c r="Q26" s="212"/>
      <c r="R26" s="210" t="s">
        <v>501</v>
      </c>
      <c r="S26" s="210" t="s">
        <v>653</v>
      </c>
      <c r="T26" s="210" t="s">
        <v>654</v>
      </c>
      <c r="U26" s="210" t="s">
        <v>502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652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987010560000010146A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501</v>
      </c>
      <c r="S27" s="210" t="s">
        <v>502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517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524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531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447</v>
      </c>
      <c r="D35" s="154" t="s">
        <v>446</v>
      </c>
      <c r="E35" s="157" t="s">
        <v>509</v>
      </c>
      <c r="F35" s="157" t="s">
        <v>509</v>
      </c>
      <c r="G35" s="157" t="s">
        <v>509</v>
      </c>
      <c r="H35" s="157" t="s">
        <v>509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509</v>
      </c>
      <c r="S35" s="68" t="s">
        <v>510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603</v>
      </c>
      <c r="D36" s="154" t="s">
        <v>604</v>
      </c>
      <c r="E36" s="157" t="s">
        <v>602</v>
      </c>
      <c r="F36" s="157" t="s">
        <v>602</v>
      </c>
      <c r="G36" s="157" t="s">
        <v>602</v>
      </c>
      <c r="H36" s="157" t="s">
        <v>602</v>
      </c>
      <c r="I36" s="157" t="s">
        <v>602</v>
      </c>
      <c r="J36" s="157" t="s">
        <v>602</v>
      </c>
      <c r="K36" s="157" t="s">
        <v>602</v>
      </c>
      <c r="L36" s="157" t="s">
        <v>602</v>
      </c>
      <c r="M36" s="157" t="s">
        <v>602</v>
      </c>
      <c r="N36" s="157" t="s">
        <v>602</v>
      </c>
      <c r="O36" s="186" t="s">
        <v>142</v>
      </c>
      <c r="Q36" s="212"/>
      <c r="R36" s="68" t="s">
        <v>602</v>
      </c>
      <c r="S36" s="68" t="s">
        <v>605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439</v>
      </c>
      <c r="D37" s="120" t="s">
        <v>536</v>
      </c>
      <c r="E37" s="163" t="s">
        <v>448</v>
      </c>
      <c r="F37" s="163" t="s">
        <v>448</v>
      </c>
      <c r="G37" s="163" t="s">
        <v>449</v>
      </c>
      <c r="H37" s="163" t="s">
        <v>449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449</v>
      </c>
      <c r="S37" s="68" t="s">
        <v>448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529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522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528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533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534</v>
      </c>
      <c r="D47" s="202" t="s">
        <v>532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532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577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541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516</v>
      </c>
      <c r="D55" s="181" t="s">
        <v>511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523</v>
      </c>
      <c r="D56" s="154" t="s">
        <v>513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535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518</v>
      </c>
      <c r="D59" s="189"/>
      <c r="E59" s="157" t="str">
        <f>E24</f>
        <v>Quickborn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519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512</v>
      </c>
      <c r="D60" s="189"/>
      <c r="E60" s="161">
        <f>E25</f>
        <v>10146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Allgemeine GPT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517</v>
      </c>
      <c r="D63" s="131"/>
      <c r="E63" s="131"/>
      <c r="F63" s="158">
        <f>F29</f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524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531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447</v>
      </c>
      <c r="D69" s="154" t="s">
        <v>446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603</v>
      </c>
      <c r="D70" s="154" t="s">
        <v>604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439</v>
      </c>
      <c r="D71" s="120" t="s">
        <v>536</v>
      </c>
      <c r="E71" s="164" t="s">
        <v>449</v>
      </c>
      <c r="F71" s="164" t="s">
        <v>449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578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76" priority="28">
      <formula>IF(E$20&lt;=$F$18,1,0)</formula>
    </cfRule>
  </conditionalFormatting>
  <conditionalFormatting sqref="E33:N37">
    <cfRule type="expression" dxfId="75" priority="27">
      <formula>IF(E$31&lt;=$F$29,1,0)</formula>
    </cfRule>
  </conditionalFormatting>
  <conditionalFormatting sqref="E26:N26">
    <cfRule type="expression" dxfId="74" priority="26">
      <formula>IF(E$20&lt;=$F$18,1,0)</formula>
    </cfRule>
  </conditionalFormatting>
  <conditionalFormatting sqref="E26:N26">
    <cfRule type="expression" dxfId="73" priority="25">
      <formula>IF(E$20&lt;=$F$18,1,0)</formula>
    </cfRule>
  </conditionalFormatting>
  <conditionalFormatting sqref="E57:N60">
    <cfRule type="expression" dxfId="72" priority="22">
      <formula>IF(E$55&lt;=$F$53,1,0)</formula>
    </cfRule>
  </conditionalFormatting>
  <conditionalFormatting sqref="E61:N61">
    <cfRule type="expression" dxfId="71" priority="21">
      <formula>IF(E$55&lt;=$F$53,1,0)</formula>
    </cfRule>
  </conditionalFormatting>
  <conditionalFormatting sqref="E67:N69">
    <cfRule type="expression" dxfId="70" priority="15">
      <formula>IF(E$65&lt;=$F$63,1,0)</formula>
    </cfRule>
  </conditionalFormatting>
  <conditionalFormatting sqref="E66:N69 E71:N71">
    <cfRule type="expression" dxfId="69" priority="13">
      <formula>IF(E$65&gt;$F$63,1,0)</formula>
    </cfRule>
  </conditionalFormatting>
  <conditionalFormatting sqref="E57:N61">
    <cfRule type="expression" dxfId="68" priority="12">
      <formula>IF(E$55&gt;$F$53,1,0)</formula>
    </cfRule>
  </conditionalFormatting>
  <conditionalFormatting sqref="E21:N26">
    <cfRule type="expression" dxfId="67" priority="11">
      <formula>IF(E$20&gt;$F$18,1,0)</formula>
    </cfRule>
  </conditionalFormatting>
  <conditionalFormatting sqref="E33:N37">
    <cfRule type="expression" dxfId="66" priority="10">
      <formula>IF(E$31&gt;$F$29,1,0)</formula>
    </cfRule>
  </conditionalFormatting>
  <conditionalFormatting sqref="H11 H8:H9">
    <cfRule type="expression" dxfId="65" priority="9">
      <formula>IF($F$9=1,1,0)</formula>
    </cfRule>
  </conditionalFormatting>
  <conditionalFormatting sqref="E56:N56">
    <cfRule type="expression" dxfId="64" priority="8">
      <formula>IF(E$55&gt;$F$53,1,0)</formula>
    </cfRule>
  </conditionalFormatting>
  <conditionalFormatting sqref="E32:N32">
    <cfRule type="expression" dxfId="63" priority="7">
      <formula>IF(E$31&gt;$F$29,1,0)</formula>
    </cfRule>
  </conditionalFormatting>
  <conditionalFormatting sqref="E71:N71">
    <cfRule type="expression" dxfId="62" priority="6">
      <formula>IF(E$65&lt;=$F$63,1,0)</formula>
    </cfRule>
  </conditionalFormatting>
  <conditionalFormatting sqref="H10">
    <cfRule type="expression" dxfId="61" priority="5">
      <formula>IF($F$9=1,1,0)</formula>
    </cfRule>
  </conditionalFormatting>
  <conditionalFormatting sqref="E70:N70">
    <cfRule type="expression" dxfId="60" priority="2">
      <formula>IF(E$65&lt;=$F$63,1,0)</formula>
    </cfRule>
  </conditionalFormatting>
  <conditionalFormatting sqref="E70:N70">
    <cfRule type="expression" dxfId="5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542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482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EWS 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483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493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520</v>
      </c>
      <c r="D9" s="131"/>
      <c r="E9" s="131"/>
      <c r="F9" s="155">
        <f>'SLP-Verfahren'!D43</f>
        <v>1</v>
      </c>
      <c r="H9" s="173" t="s">
        <v>599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583</v>
      </c>
      <c r="D10" s="131"/>
      <c r="E10" s="131"/>
      <c r="F10" s="300">
        <v>2</v>
      </c>
      <c r="G10" s="57"/>
      <c r="H10" s="173" t="s">
        <v>600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601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582</v>
      </c>
      <c r="D13" s="352"/>
      <c r="E13" s="352"/>
      <c r="F13" s="184" t="s">
        <v>546</v>
      </c>
      <c r="G13" s="131" t="s">
        <v>544</v>
      </c>
      <c r="H13" s="266" t="s">
        <v>561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444</v>
      </c>
      <c r="D14" s="353"/>
      <c r="E14" s="90" t="s">
        <v>445</v>
      </c>
      <c r="F14" s="267" t="s">
        <v>85</v>
      </c>
      <c r="G14" s="268" t="s">
        <v>570</v>
      </c>
      <c r="H14" s="51">
        <v>0</v>
      </c>
      <c r="I14" s="57"/>
      <c r="J14" s="131"/>
      <c r="K14" s="131"/>
      <c r="L14" s="131"/>
      <c r="M14" s="131"/>
      <c r="N14" s="131"/>
      <c r="O14" s="174" t="s">
        <v>525</v>
      </c>
      <c r="R14" s="210" t="s">
        <v>562</v>
      </c>
      <c r="S14" s="210" t="s">
        <v>563</v>
      </c>
      <c r="T14" s="210" t="s">
        <v>564</v>
      </c>
      <c r="U14" s="210" t="s">
        <v>565</v>
      </c>
      <c r="V14" s="210" t="s">
        <v>545</v>
      </c>
      <c r="W14" s="210" t="s">
        <v>566</v>
      </c>
      <c r="X14" s="210" t="s">
        <v>567</v>
      </c>
      <c r="Y14" s="210" t="s">
        <v>568</v>
      </c>
      <c r="Z14" s="210" t="s">
        <v>569</v>
      </c>
      <c r="AA14" s="210" t="s">
        <v>570</v>
      </c>
      <c r="AB14" s="210" t="s">
        <v>571</v>
      </c>
      <c r="AC14" s="210" t="s">
        <v>572</v>
      </c>
    </row>
    <row r="15" spans="1:56" ht="19.5" customHeight="1">
      <c r="B15" s="131"/>
      <c r="C15" s="353" t="s">
        <v>384</v>
      </c>
      <c r="D15" s="353"/>
      <c r="E15" s="90" t="s">
        <v>445</v>
      </c>
      <c r="F15" s="267" t="s">
        <v>71</v>
      </c>
      <c r="G15" s="268" t="s">
        <v>564</v>
      </c>
      <c r="H15" s="51">
        <v>0</v>
      </c>
      <c r="I15" s="57"/>
      <c r="J15" s="131"/>
      <c r="K15" s="131"/>
      <c r="L15" s="131"/>
      <c r="M15" s="131"/>
      <c r="N15" s="131"/>
      <c r="O15" s="162" t="s">
        <v>526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489</v>
      </c>
      <c r="AI15" s="265" t="s">
        <v>547</v>
      </c>
      <c r="AJ15" s="265" t="s">
        <v>548</v>
      </c>
      <c r="AK15" s="265" t="s">
        <v>549</v>
      </c>
      <c r="AL15" s="265" t="s">
        <v>550</v>
      </c>
      <c r="AM15" s="265" t="s">
        <v>551</v>
      </c>
      <c r="AN15" s="265" t="s">
        <v>552</v>
      </c>
      <c r="AO15" s="265" t="s">
        <v>553</v>
      </c>
      <c r="AP15" s="265" t="s">
        <v>554</v>
      </c>
      <c r="AQ15" s="265" t="s">
        <v>555</v>
      </c>
      <c r="AR15" s="265" t="s">
        <v>556</v>
      </c>
      <c r="AS15" s="265" t="s">
        <v>557</v>
      </c>
      <c r="AT15" s="265" t="s">
        <v>558</v>
      </c>
      <c r="AU15" s="265" t="s">
        <v>559</v>
      </c>
      <c r="AV15" s="265" t="s">
        <v>560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515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521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516</v>
      </c>
      <c r="D20" s="181" t="s">
        <v>511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523</v>
      </c>
      <c r="D21" s="154" t="s">
        <v>513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535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500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518</v>
      </c>
      <c r="D24" s="189"/>
      <c r="E24" s="157" t="s">
        <v>579</v>
      </c>
      <c r="F24" s="157" t="s">
        <v>580</v>
      </c>
      <c r="G24" s="157"/>
      <c r="H24" s="157"/>
      <c r="I24" s="157"/>
      <c r="J24" s="157"/>
      <c r="K24" s="157"/>
      <c r="L24" s="157"/>
      <c r="M24" s="157"/>
      <c r="N24" s="157"/>
      <c r="O24" s="186" t="s">
        <v>519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512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501</v>
      </c>
      <c r="F26" s="157" t="s">
        <v>501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501</v>
      </c>
      <c r="S26" s="68" t="s">
        <v>502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517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524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531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447</v>
      </c>
      <c r="D34" s="154" t="s">
        <v>446</v>
      </c>
      <c r="E34" s="157" t="s">
        <v>509</v>
      </c>
      <c r="F34" s="157" t="s">
        <v>509</v>
      </c>
      <c r="G34" s="157" t="s">
        <v>509</v>
      </c>
      <c r="H34" s="157" t="s">
        <v>509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509</v>
      </c>
      <c r="S34" s="68" t="s">
        <v>510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603</v>
      </c>
      <c r="D35" s="154" t="s">
        <v>604</v>
      </c>
      <c r="E35" s="157" t="s">
        <v>602</v>
      </c>
      <c r="F35" s="157" t="s">
        <v>602</v>
      </c>
      <c r="G35" s="157" t="s">
        <v>602</v>
      </c>
      <c r="H35" s="157" t="s">
        <v>602</v>
      </c>
      <c r="I35" s="157" t="s">
        <v>602</v>
      </c>
      <c r="J35" s="157" t="s">
        <v>602</v>
      </c>
      <c r="K35" s="157" t="s">
        <v>602</v>
      </c>
      <c r="L35" s="157" t="s">
        <v>602</v>
      </c>
      <c r="M35" s="157" t="s">
        <v>602</v>
      </c>
      <c r="N35" s="157" t="s">
        <v>602</v>
      </c>
      <c r="O35" s="186" t="s">
        <v>142</v>
      </c>
      <c r="Q35" s="212"/>
      <c r="R35" s="68" t="s">
        <v>602</v>
      </c>
      <c r="S35" s="68" t="s">
        <v>605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439</v>
      </c>
      <c r="D36" s="120" t="s">
        <v>536</v>
      </c>
      <c r="E36" s="163" t="s">
        <v>448</v>
      </c>
      <c r="F36" s="163" t="s">
        <v>448</v>
      </c>
      <c r="G36" s="163" t="s">
        <v>449</v>
      </c>
      <c r="H36" s="163" t="s">
        <v>449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449</v>
      </c>
      <c r="S36" s="68" t="s">
        <v>448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529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527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533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534</v>
      </c>
      <c r="D46" s="202" t="s">
        <v>532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532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577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541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516</v>
      </c>
      <c r="D54" s="181" t="s">
        <v>511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523</v>
      </c>
      <c r="D55" s="154" t="s">
        <v>513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535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518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519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512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517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524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531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447</v>
      </c>
      <c r="D68" s="154" t="s">
        <v>446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603</v>
      </c>
      <c r="D69" s="154" t="s">
        <v>604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439</v>
      </c>
      <c r="D70" s="120" t="s">
        <v>536</v>
      </c>
      <c r="E70" s="164" t="s">
        <v>449</v>
      </c>
      <c r="F70" s="164" t="s">
        <v>449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578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58" priority="18">
      <formula>IF(E$20&lt;=$F$18,1,0)</formula>
    </cfRule>
  </conditionalFormatting>
  <conditionalFormatting sqref="E32:N36">
    <cfRule type="expression" dxfId="57" priority="17">
      <formula>IF(E$30&lt;=$F$28,1,0)</formula>
    </cfRule>
  </conditionalFormatting>
  <conditionalFormatting sqref="E26:F26">
    <cfRule type="expression" dxfId="56" priority="16">
      <formula>IF(E$20&lt;=$F$18,1,0)</formula>
    </cfRule>
  </conditionalFormatting>
  <conditionalFormatting sqref="E26:N26">
    <cfRule type="expression" dxfId="55" priority="15">
      <formula>IF(E$20&lt;=$F$18,1,0)</formula>
    </cfRule>
  </conditionalFormatting>
  <conditionalFormatting sqref="E56:N59">
    <cfRule type="expression" dxfId="54" priority="14">
      <formula>IF(E$54&lt;=$F$52,1,0)</formula>
    </cfRule>
  </conditionalFormatting>
  <conditionalFormatting sqref="E60:N60">
    <cfRule type="expression" dxfId="53" priority="13">
      <formula>IF(E$54&lt;=$F$52,1,0)</formula>
    </cfRule>
  </conditionalFormatting>
  <conditionalFormatting sqref="E66:N68">
    <cfRule type="expression" dxfId="52" priority="12">
      <formula>IF(E$64&lt;=$F$62,1,0)</formula>
    </cfRule>
  </conditionalFormatting>
  <conditionalFormatting sqref="E65:N68 E70:N70">
    <cfRule type="expression" dxfId="51" priority="11">
      <formula>IF(E$64&gt;$F$62,1,0)</formula>
    </cfRule>
  </conditionalFormatting>
  <conditionalFormatting sqref="E56:N60">
    <cfRule type="expression" dxfId="50" priority="10">
      <formula>IF(E$54&gt;$F$52,1,0)</formula>
    </cfRule>
  </conditionalFormatting>
  <conditionalFormatting sqref="E21:N26">
    <cfRule type="expression" dxfId="49" priority="9">
      <formula>IF(E$20&gt;$F$18,1,0)</formula>
    </cfRule>
  </conditionalFormatting>
  <conditionalFormatting sqref="E32:N36">
    <cfRule type="expression" dxfId="48" priority="8">
      <formula>IF(E$30&gt;$F$28,1,0)</formula>
    </cfRule>
  </conditionalFormatting>
  <conditionalFormatting sqref="H11 H8:H9">
    <cfRule type="expression" dxfId="47" priority="7">
      <formula>IF($F$9=1,1,0)</formula>
    </cfRule>
  </conditionalFormatting>
  <conditionalFormatting sqref="E55:N55">
    <cfRule type="expression" dxfId="46" priority="6">
      <formula>IF(E$54&gt;$F$52,1,0)</formula>
    </cfRule>
  </conditionalFormatting>
  <conditionalFormatting sqref="E31:N31">
    <cfRule type="expression" dxfId="45" priority="5">
      <formula>IF(E$30&gt;$F$28,1,0)</formula>
    </cfRule>
  </conditionalFormatting>
  <conditionalFormatting sqref="E70:N70">
    <cfRule type="expression" dxfId="44" priority="4">
      <formula>IF(E$64&lt;=$F$62,1,0)</formula>
    </cfRule>
  </conditionalFormatting>
  <conditionalFormatting sqref="H10">
    <cfRule type="expression" dxfId="43" priority="3">
      <formula>IF($F$9=1,1,0)</formula>
    </cfRule>
  </conditionalFormatting>
  <conditionalFormatting sqref="E69:N69">
    <cfRule type="expression" dxfId="42" priority="2">
      <formula>IF(E$64&lt;=$F$62,1,0)</formula>
    </cfRule>
  </conditionalFormatting>
  <conditionalFormatting sqref="E69:N69">
    <cfRule type="expression" dxfId="4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N2" sqref="N2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7" max="7" width="0.85546875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462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ews Netz GmbH</v>
      </c>
      <c r="E5" s="131"/>
      <c r="H5" s="89" t="s">
        <v>493</v>
      </c>
      <c r="I5" s="132" t="s">
        <v>496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EWS Netz</v>
      </c>
      <c r="E6" s="131"/>
      <c r="F6" s="131"/>
      <c r="I6" s="132" t="s">
        <v>506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483</v>
      </c>
      <c r="D7" s="54" t="str">
        <f>Netzbetreiber!$D$11</f>
        <v>9870105600000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44562</v>
      </c>
      <c r="E8" s="131"/>
      <c r="F8" s="131"/>
      <c r="H8" s="129" t="s">
        <v>491</v>
      </c>
      <c r="J8" s="133">
        <f>COUNTA(D12:D100)</f>
        <v>6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490</v>
      </c>
      <c r="D10" s="135" t="s">
        <v>147</v>
      </c>
      <c r="E10" s="278" t="s">
        <v>508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633</v>
      </c>
      <c r="M10" s="151" t="s">
        <v>642</v>
      </c>
      <c r="N10" s="152" t="s">
        <v>643</v>
      </c>
      <c r="O10" s="152" t="s">
        <v>644</v>
      </c>
      <c r="P10" s="153" t="s">
        <v>645</v>
      </c>
      <c r="Q10" s="147" t="s">
        <v>634</v>
      </c>
      <c r="R10" s="137" t="s">
        <v>635</v>
      </c>
      <c r="S10" s="138" t="s">
        <v>636</v>
      </c>
      <c r="T10" s="138" t="s">
        <v>637</v>
      </c>
      <c r="U10" s="138" t="s">
        <v>638</v>
      </c>
      <c r="V10" s="138" t="s">
        <v>639</v>
      </c>
      <c r="W10" s="138" t="s">
        <v>640</v>
      </c>
      <c r="X10" s="139" t="s">
        <v>641</v>
      </c>
      <c r="Y10" s="306" t="s">
        <v>646</v>
      </c>
    </row>
    <row r="11" spans="2:26" ht="15.75" thickBot="1">
      <c r="B11" s="140" t="s">
        <v>492</v>
      </c>
      <c r="C11" s="141" t="s">
        <v>507</v>
      </c>
      <c r="D11" s="305" t="s">
        <v>248</v>
      </c>
      <c r="E11" s="165" t="s">
        <v>514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EWS Netz</v>
      </c>
      <c r="D12" s="63" t="s">
        <v>248</v>
      </c>
      <c r="E12" s="166" t="s">
        <v>665</v>
      </c>
      <c r="F12" s="369" t="str">
        <f>VLOOKUP($E12,'[1]BDEW-Standard'!$B$3:$M$158,F$9,0)</f>
        <v>KO4</v>
      </c>
      <c r="H12" s="370">
        <f>ROUND(VLOOKUP($E12,'[1]BDEW-Standard'!$B$3:$M$158,H$9,0),7)</f>
        <v>3.4428942999999999</v>
      </c>
      <c r="I12" s="370">
        <f>ROUND(VLOOKUP($E12,'[1]BDEW-Standard'!$B$3:$M$158,I$9,0),7)</f>
        <v>-36.659050399999998</v>
      </c>
      <c r="J12" s="370">
        <f>ROUND(VLOOKUP($E12,'[1]BDEW-Standard'!$B$3:$M$158,J$9,0),7)</f>
        <v>7.6083226000000002</v>
      </c>
      <c r="K12" s="370">
        <f>ROUND(VLOOKUP($E12,'[1]BDEW-Standard'!$B$3:$M$158,K$9,0),7)</f>
        <v>7.4685000000000001E-2</v>
      </c>
      <c r="L12" s="371">
        <f>ROUND(VLOOKUP($E12,'[1]BDEW-Standard'!$B$3:$M$158,L$9,0),1)</f>
        <v>40</v>
      </c>
      <c r="M12" s="370">
        <f>ROUND(VLOOKUP($E12,'[1]BDEW-Standard'!$B$3:$M$158,M$9,0),7)</f>
        <v>0</v>
      </c>
      <c r="N12" s="370">
        <f>ROUND(VLOOKUP($E12,'[1]BDEW-Standard'!$B$3:$M$158,N$9,0),7)</f>
        <v>0</v>
      </c>
      <c r="O12" s="370">
        <f>ROUND(VLOOKUP($E12,'[1]BDEW-Standard'!$B$3:$M$158,O$9,0),7)</f>
        <v>0</v>
      </c>
      <c r="P12" s="370">
        <f>ROUND(VLOOKUP($E12,'[1]BDEW-Standard'!$B$3:$M$158,P$9,0),7)</f>
        <v>0</v>
      </c>
      <c r="Q12" s="372">
        <f t="shared" ref="Q12:Q17" si="1">(H12/(1+(I12/($P$9-L12))^J12)+K12)+MAX(M12*$P$9+N12,O12*$P$9+P12)</f>
        <v>0.46731811520347788</v>
      </c>
      <c r="R12" s="373">
        <f>ROUND(VLOOKUP(MID($E12,4,3),'[1]Wochentag F(WT)'!$B$7:$J$22,R$9,0),4)</f>
        <v>1.0354000000000001</v>
      </c>
      <c r="S12" s="373">
        <f>ROUND(VLOOKUP(MID($E12,4,3),'[1]Wochentag F(WT)'!$B$7:$J$22,S$9,0),4)</f>
        <v>1.0523</v>
      </c>
      <c r="T12" s="373">
        <f>ROUND(VLOOKUP(MID($E12,4,3),'[1]Wochentag F(WT)'!$B$7:$J$22,T$9,0),4)</f>
        <v>1.0448999999999999</v>
      </c>
      <c r="U12" s="373">
        <f>ROUND(VLOOKUP(MID($E12,4,3),'[1]Wochentag F(WT)'!$B$7:$J$22,U$9,0),4)</f>
        <v>1.0494000000000001</v>
      </c>
      <c r="V12" s="373">
        <f>ROUND(VLOOKUP(MID($E12,4,3),'[1]Wochentag F(WT)'!$B$7:$J$22,V$9,0),4)</f>
        <v>0.98850000000000005</v>
      </c>
      <c r="W12" s="373">
        <f>ROUND(VLOOKUP(MID($E12,4,3),'[1]Wochentag F(WT)'!$B$7:$J$22,W$9,0),4)</f>
        <v>0.88600000000000001</v>
      </c>
      <c r="X12" s="374">
        <f t="shared" ref="X12:X17" si="2">7-SUM(R12:W12)</f>
        <v>0.94349999999999934</v>
      </c>
      <c r="Y12" s="304"/>
      <c r="Z12" s="213"/>
    </row>
    <row r="13" spans="2:26" s="144" customFormat="1">
      <c r="B13" s="145">
        <v>2</v>
      </c>
      <c r="C13" s="146" t="str">
        <f t="shared" si="0"/>
        <v>EWS Netz</v>
      </c>
      <c r="D13" s="63" t="s">
        <v>248</v>
      </c>
      <c r="E13" s="166" t="s">
        <v>666</v>
      </c>
      <c r="F13" s="369" t="str">
        <f>VLOOKUP($E13,'[1]BDEW-Standard'!$B$3:$M$158,F$9,0)</f>
        <v>D15</v>
      </c>
      <c r="H13" s="370">
        <f>ROUND(VLOOKUP($E13,'[1]BDEW-Standard'!$B$3:$M$158,H$9,0),7)</f>
        <v>3.3456667000000002</v>
      </c>
      <c r="I13" s="370">
        <f>ROUND(VLOOKUP($E13,'[1]BDEW-Standard'!$B$3:$M$158,I$9,0),7)</f>
        <v>-37.526831600000001</v>
      </c>
      <c r="J13" s="370">
        <f>ROUND(VLOOKUP($E13,'[1]BDEW-Standard'!$B$3:$M$158,J$9,0),7)</f>
        <v>6.4328937000000002</v>
      </c>
      <c r="K13" s="370">
        <f>ROUND(VLOOKUP($E13,'[1]BDEW-Standard'!$B$3:$M$158,K$9,0),7)</f>
        <v>5.6256599999999997E-2</v>
      </c>
      <c r="L13" s="371">
        <f>ROUND(VLOOKUP($E13,'[1]BDEW-Standard'!$B$3:$M$158,L$9,0),1)</f>
        <v>40</v>
      </c>
      <c r="M13" s="370">
        <f>ROUND(VLOOKUP($E13,'[1]BDEW-Standard'!$B$3:$M$158,M$9,0),7)</f>
        <v>0</v>
      </c>
      <c r="N13" s="370">
        <f>ROUND(VLOOKUP($E13,'[1]BDEW-Standard'!$B$3:$M$158,N$9,0),7)</f>
        <v>0</v>
      </c>
      <c r="O13" s="370">
        <f>ROUND(VLOOKUP($E13,'[1]BDEW-Standard'!$B$3:$M$158,O$9,0),7)</f>
        <v>0</v>
      </c>
      <c r="P13" s="370">
        <f>ROUND(VLOOKUP($E13,'[1]BDEW-Standard'!$B$3:$M$158,P$9,0),7)</f>
        <v>0</v>
      </c>
      <c r="Q13" s="372">
        <f t="shared" si="1"/>
        <v>0.49769530625681613</v>
      </c>
      <c r="R13" s="373">
        <f>ROUND(VLOOKUP(MID($E13,4,3),'[1]Wochentag F(WT)'!$B$7:$J$22,R$9,0),4)</f>
        <v>1</v>
      </c>
      <c r="S13" s="373">
        <f>ROUND(VLOOKUP(MID($E13,4,3),'[1]Wochentag F(WT)'!$B$7:$J$22,S$9,0),4)</f>
        <v>1</v>
      </c>
      <c r="T13" s="373">
        <f>ROUND(VLOOKUP(MID($E13,4,3),'[1]Wochentag F(WT)'!$B$7:$J$22,T$9,0),4)</f>
        <v>1</v>
      </c>
      <c r="U13" s="373">
        <f>ROUND(VLOOKUP(MID($E13,4,3),'[1]Wochentag F(WT)'!$B$7:$J$22,U$9,0),4)</f>
        <v>1</v>
      </c>
      <c r="V13" s="373">
        <f>ROUND(VLOOKUP(MID($E13,4,3),'[1]Wochentag F(WT)'!$B$7:$J$22,V$9,0),4)</f>
        <v>1</v>
      </c>
      <c r="W13" s="373">
        <f>ROUND(VLOOKUP(MID($E13,4,3),'[1]Wochentag F(WT)'!$B$7:$J$22,W$9,0),4)</f>
        <v>1</v>
      </c>
      <c r="X13" s="374">
        <f t="shared" si="2"/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EWS Netz</v>
      </c>
      <c r="D14" s="63" t="s">
        <v>248</v>
      </c>
      <c r="E14" s="166" t="s">
        <v>667</v>
      </c>
      <c r="F14" s="369" t="str">
        <f>VLOOKUP($E14,'[1]BDEW-Standard'!$B$3:$M$158,F$9,0)</f>
        <v>HA4</v>
      </c>
      <c r="H14" s="370">
        <f>ROUND(VLOOKUP($E14,'[1]BDEW-Standard'!$B$3:$M$158,H$9,0),7)</f>
        <v>4.0196902000000003</v>
      </c>
      <c r="I14" s="370">
        <f>ROUND(VLOOKUP($E14,'[1]BDEW-Standard'!$B$3:$M$158,I$9,0),7)</f>
        <v>-37.828203700000003</v>
      </c>
      <c r="J14" s="370">
        <f>ROUND(VLOOKUP($E14,'[1]BDEW-Standard'!$B$3:$M$158,J$9,0),7)</f>
        <v>8.1593368999999996</v>
      </c>
      <c r="K14" s="370">
        <f>ROUND(VLOOKUP($E14,'[1]BDEW-Standard'!$B$3:$M$158,K$9,0),7)</f>
        <v>4.72845E-2</v>
      </c>
      <c r="L14" s="371">
        <f>ROUND(VLOOKUP($E14,'[1]BDEW-Standard'!$B$3:$M$158,L$9,0),1)</f>
        <v>40</v>
      </c>
      <c r="M14" s="370">
        <f>ROUND(VLOOKUP($E14,'[1]BDEW-Standard'!$B$3:$M$158,M$9,0),7)</f>
        <v>0</v>
      </c>
      <c r="N14" s="370">
        <f>ROUND(VLOOKUP($E14,'[1]BDEW-Standard'!$B$3:$M$158,N$9,0),7)</f>
        <v>0</v>
      </c>
      <c r="O14" s="370">
        <f>ROUND(VLOOKUP($E14,'[1]BDEW-Standard'!$B$3:$M$158,O$9,0),7)</f>
        <v>0</v>
      </c>
      <c r="P14" s="370">
        <f>ROUND(VLOOKUP($E14,'[1]BDEW-Standard'!$B$3:$M$158,P$9,0),7)</f>
        <v>0</v>
      </c>
      <c r="Q14" s="372">
        <f t="shared" si="1"/>
        <v>0.36521226152130792</v>
      </c>
      <c r="R14" s="373">
        <f>ROUND(VLOOKUP(MID($E14,4,3),'[1]Wochentag F(WT)'!$B$7:$J$22,R$9,0),4)</f>
        <v>1.0358000000000001</v>
      </c>
      <c r="S14" s="373">
        <f>ROUND(VLOOKUP(MID($E14,4,3),'[1]Wochentag F(WT)'!$B$7:$J$22,S$9,0),4)</f>
        <v>1.0232000000000001</v>
      </c>
      <c r="T14" s="373">
        <f>ROUND(VLOOKUP(MID($E14,4,3),'[1]Wochentag F(WT)'!$B$7:$J$22,T$9,0),4)</f>
        <v>1.0251999999999999</v>
      </c>
      <c r="U14" s="373">
        <f>ROUND(VLOOKUP(MID($E14,4,3),'[1]Wochentag F(WT)'!$B$7:$J$22,U$9,0),4)</f>
        <v>1.0295000000000001</v>
      </c>
      <c r="V14" s="373">
        <f>ROUND(VLOOKUP(MID($E14,4,3),'[1]Wochentag F(WT)'!$B$7:$J$22,V$9,0),4)</f>
        <v>1.0253000000000001</v>
      </c>
      <c r="W14" s="373">
        <f>ROUND(VLOOKUP(MID($E14,4,3),'[1]Wochentag F(WT)'!$B$7:$J$22,W$9,0),4)</f>
        <v>0.96750000000000003</v>
      </c>
      <c r="X14" s="374">
        <f t="shared" si="2"/>
        <v>0.89350000000000041</v>
      </c>
      <c r="Y14" s="304"/>
      <c r="Z14" s="213"/>
    </row>
    <row r="15" spans="2:26" s="144" customFormat="1">
      <c r="B15" s="145">
        <v>4</v>
      </c>
      <c r="C15" s="146" t="str">
        <f t="shared" si="0"/>
        <v>EWS Netz</v>
      </c>
      <c r="D15" s="63" t="s">
        <v>248</v>
      </c>
      <c r="E15" s="166" t="s">
        <v>4</v>
      </c>
      <c r="F15" s="369" t="str">
        <f>VLOOKUP($E15,'[1]BDEW-Standard'!$B$3:$M$158,F$9,0)</f>
        <v>HK3</v>
      </c>
      <c r="H15" s="370">
        <f>ROUND(VLOOKUP($E15,'[1]BDEW-Standard'!$B$3:$M$158,H$9,0),7)</f>
        <v>0.40409319999999999</v>
      </c>
      <c r="I15" s="370">
        <f>ROUND(VLOOKUP($E15,'[1]BDEW-Standard'!$B$3:$M$158,I$9,0),7)</f>
        <v>-24.439296800000001</v>
      </c>
      <c r="J15" s="370">
        <f>ROUND(VLOOKUP($E15,'[1]BDEW-Standard'!$B$3:$M$158,J$9,0),7)</f>
        <v>6.5718174999999999</v>
      </c>
      <c r="K15" s="370">
        <f>ROUND(VLOOKUP($E15,'[1]BDEW-Standard'!$B$3:$M$158,K$9,0),7)</f>
        <v>0.71077100000000004</v>
      </c>
      <c r="L15" s="371">
        <f>ROUND(VLOOKUP($E15,'[1]BDEW-Standard'!$B$3:$M$158,L$9,0),1)</f>
        <v>40</v>
      </c>
      <c r="M15" s="370">
        <f>ROUND(VLOOKUP($E15,'[1]BDEW-Standard'!$B$3:$M$158,M$9,0),7)</f>
        <v>0</v>
      </c>
      <c r="N15" s="370">
        <f>ROUND(VLOOKUP($E15,'[1]BDEW-Standard'!$B$3:$M$158,N$9,0),7)</f>
        <v>0</v>
      </c>
      <c r="O15" s="370">
        <f>ROUND(VLOOKUP($E15,'[1]BDEW-Standard'!$B$3:$M$158,O$9,0),7)</f>
        <v>0</v>
      </c>
      <c r="P15" s="370">
        <f>ROUND(VLOOKUP($E15,'[1]BDEW-Standard'!$B$3:$M$158,P$9,0),7)</f>
        <v>0</v>
      </c>
      <c r="Q15" s="372">
        <f t="shared" si="1"/>
        <v>0.99754924576379955</v>
      </c>
      <c r="R15" s="373">
        <f>ROUND(VLOOKUP(MID($E15,4,3),'[1]Wochentag F(WT)'!$B$7:$J$22,R$9,0),4)</f>
        <v>1</v>
      </c>
      <c r="S15" s="373">
        <f>ROUND(VLOOKUP(MID($E15,4,3),'[1]Wochentag F(WT)'!$B$7:$J$22,S$9,0),4)</f>
        <v>1</v>
      </c>
      <c r="T15" s="373">
        <f>ROUND(VLOOKUP(MID($E15,4,3),'[1]Wochentag F(WT)'!$B$7:$J$22,T$9,0),4)</f>
        <v>1</v>
      </c>
      <c r="U15" s="373">
        <f>ROUND(VLOOKUP(MID($E15,4,3),'[1]Wochentag F(WT)'!$B$7:$J$22,U$9,0),4)</f>
        <v>1</v>
      </c>
      <c r="V15" s="373">
        <f>ROUND(VLOOKUP(MID($E15,4,3),'[1]Wochentag F(WT)'!$B$7:$J$22,V$9,0),4)</f>
        <v>1</v>
      </c>
      <c r="W15" s="373">
        <f>ROUND(VLOOKUP(MID($E15,4,3),'[1]Wochentag F(WT)'!$B$7:$J$22,W$9,0),4)</f>
        <v>1</v>
      </c>
      <c r="X15" s="374">
        <f t="shared" si="2"/>
        <v>1</v>
      </c>
      <c r="Y15" s="304"/>
      <c r="Z15" s="213"/>
    </row>
    <row r="16" spans="2:26" s="144" customFormat="1">
      <c r="B16" s="145">
        <v>5</v>
      </c>
      <c r="C16" s="146" t="str">
        <f t="shared" si="0"/>
        <v>EWS Netz</v>
      </c>
      <c r="D16" s="63" t="s">
        <v>248</v>
      </c>
      <c r="E16" s="166" t="s">
        <v>668</v>
      </c>
      <c r="F16" s="369" t="str">
        <f>VLOOKUP($E16,'[1]BDEW-Standard'!$B$3:$M$158,F$9,0)</f>
        <v>MK4</v>
      </c>
      <c r="H16" s="370">
        <f>ROUND(VLOOKUP($E16,'[1]BDEW-Standard'!$B$3:$M$158,H$9,0),7)</f>
        <v>3.1177248</v>
      </c>
      <c r="I16" s="370">
        <f>ROUND(VLOOKUP($E16,'[1]BDEW-Standard'!$B$3:$M$158,I$9,0),7)</f>
        <v>-35.871506199999999</v>
      </c>
      <c r="J16" s="370">
        <f>ROUND(VLOOKUP($E16,'[1]BDEW-Standard'!$B$3:$M$158,J$9,0),7)</f>
        <v>7.5186828999999999</v>
      </c>
      <c r="K16" s="370">
        <f>ROUND(VLOOKUP($E16,'[1]BDEW-Standard'!$B$3:$M$158,K$9,0),7)</f>
        <v>3.4330100000000002E-2</v>
      </c>
      <c r="L16" s="371">
        <f>ROUND(VLOOKUP($E16,'[1]BDEW-Standard'!$B$3:$M$158,L$9,0),1)</f>
        <v>40</v>
      </c>
      <c r="M16" s="370">
        <f>ROUND(VLOOKUP($E16,'[1]BDEW-Standard'!$B$3:$M$158,M$9,0),7)</f>
        <v>0</v>
      </c>
      <c r="N16" s="370">
        <f>ROUND(VLOOKUP($E16,'[1]BDEW-Standard'!$B$3:$M$158,N$9,0),7)</f>
        <v>0</v>
      </c>
      <c r="O16" s="370">
        <f>ROUND(VLOOKUP($E16,'[1]BDEW-Standard'!$B$3:$M$158,O$9,0),7)</f>
        <v>0</v>
      </c>
      <c r="P16" s="370">
        <f>ROUND(VLOOKUP($E16,'[1]BDEW-Standard'!$B$3:$M$158,P$9,0),7)</f>
        <v>0</v>
      </c>
      <c r="Q16" s="372">
        <f t="shared" si="1"/>
        <v>0.45332809177718192</v>
      </c>
      <c r="R16" s="373">
        <f>ROUND(VLOOKUP(MID($E16,4,3),'[1]Wochentag F(WT)'!$B$7:$J$22,R$9,0),4)</f>
        <v>1.0699000000000001</v>
      </c>
      <c r="S16" s="373">
        <f>ROUND(VLOOKUP(MID($E16,4,3),'[1]Wochentag F(WT)'!$B$7:$J$22,S$9,0),4)</f>
        <v>1.0365</v>
      </c>
      <c r="T16" s="373">
        <f>ROUND(VLOOKUP(MID($E16,4,3),'[1]Wochentag F(WT)'!$B$7:$J$22,T$9,0),4)</f>
        <v>0.99329999999999996</v>
      </c>
      <c r="U16" s="373">
        <f>ROUND(VLOOKUP(MID($E16,4,3),'[1]Wochentag F(WT)'!$B$7:$J$22,U$9,0),4)</f>
        <v>0.99480000000000002</v>
      </c>
      <c r="V16" s="373">
        <f>ROUND(VLOOKUP(MID($E16,4,3),'[1]Wochentag F(WT)'!$B$7:$J$22,V$9,0),4)</f>
        <v>1.0659000000000001</v>
      </c>
      <c r="W16" s="373">
        <f>ROUND(VLOOKUP(MID($E16,4,3),'[1]Wochentag F(WT)'!$B$7:$J$22,W$9,0),4)</f>
        <v>0.93620000000000003</v>
      </c>
      <c r="X16" s="374">
        <f t="shared" si="2"/>
        <v>0.90339999999999954</v>
      </c>
      <c r="Y16" s="304"/>
      <c r="Z16" s="213"/>
    </row>
    <row r="17" spans="2:26" s="144" customFormat="1">
      <c r="B17" s="145">
        <v>6</v>
      </c>
      <c r="C17" s="146" t="str">
        <f t="shared" si="0"/>
        <v>EWS Netz</v>
      </c>
      <c r="D17" s="63" t="s">
        <v>248</v>
      </c>
      <c r="E17" s="166" t="s">
        <v>669</v>
      </c>
      <c r="F17" s="369" t="str">
        <f>VLOOKUP($E17,'[1]BDEW-Standard'!$B$3:$M$158,F$9,0)</f>
        <v>D25</v>
      </c>
      <c r="H17" s="370">
        <f>ROUND(VLOOKUP($E17,'[1]BDEW-Standard'!$B$3:$M$158,H$9,0),7)</f>
        <v>2.6564405999999998</v>
      </c>
      <c r="I17" s="370">
        <f>ROUND(VLOOKUP($E17,'[1]BDEW-Standard'!$B$3:$M$158,I$9,0),7)</f>
        <v>-35.2516927</v>
      </c>
      <c r="J17" s="370">
        <f>ROUND(VLOOKUP($E17,'[1]BDEW-Standard'!$B$3:$M$158,J$9,0),7)</f>
        <v>6.5182659000000003</v>
      </c>
      <c r="K17" s="370">
        <f>ROUND(VLOOKUP($E17,'[1]BDEW-Standard'!$B$3:$M$158,K$9,0),7)</f>
        <v>8.1205899999999998E-2</v>
      </c>
      <c r="L17" s="371">
        <f>ROUND(VLOOKUP($E17,'[1]BDEW-Standard'!$B$3:$M$158,L$9,0),1)</f>
        <v>40</v>
      </c>
      <c r="M17" s="370">
        <f>ROUND(VLOOKUP($E17,'[1]BDEW-Standard'!$B$3:$M$158,M$9,0),7)</f>
        <v>0</v>
      </c>
      <c r="N17" s="370">
        <f>ROUND(VLOOKUP($E17,'[1]BDEW-Standard'!$B$3:$M$158,N$9,0),7)</f>
        <v>0</v>
      </c>
      <c r="O17" s="370">
        <f>ROUND(VLOOKUP($E17,'[1]BDEW-Standard'!$B$3:$M$158,O$9,0),7)</f>
        <v>0</v>
      </c>
      <c r="P17" s="370">
        <f>ROUND(VLOOKUP($E17,'[1]BDEW-Standard'!$B$3:$M$158,P$9,0),7)</f>
        <v>0</v>
      </c>
      <c r="Q17" s="372">
        <f t="shared" si="1"/>
        <v>0.56532705549394113</v>
      </c>
      <c r="R17" s="373">
        <f>ROUND(VLOOKUP(MID($E17,4,3),'[1]Wochentag F(WT)'!$B$7:$J$22,R$9,0),4)</f>
        <v>1</v>
      </c>
      <c r="S17" s="373">
        <f>ROUND(VLOOKUP(MID($E17,4,3),'[1]Wochentag F(WT)'!$B$7:$J$22,S$9,0),4)</f>
        <v>1</v>
      </c>
      <c r="T17" s="373">
        <f>ROUND(VLOOKUP(MID($E17,4,3),'[1]Wochentag F(WT)'!$B$7:$J$22,T$9,0),4)</f>
        <v>1</v>
      </c>
      <c r="U17" s="373">
        <f>ROUND(VLOOKUP(MID($E17,4,3),'[1]Wochentag F(WT)'!$B$7:$J$22,U$9,0),4)</f>
        <v>1</v>
      </c>
      <c r="V17" s="373">
        <f>ROUND(VLOOKUP(MID($E17,4,3),'[1]Wochentag F(WT)'!$B$7:$J$22,V$9,0),4)</f>
        <v>1</v>
      </c>
      <c r="W17" s="373">
        <f>ROUND(VLOOKUP(MID($E17,4,3),'[1]Wochentag F(WT)'!$B$7:$J$22,W$9,0),4)</f>
        <v>1</v>
      </c>
      <c r="X17" s="374">
        <f t="shared" si="2"/>
        <v>1</v>
      </c>
      <c r="Y17" s="304"/>
      <c r="Z17" s="213"/>
    </row>
    <row r="18" spans="2:26" s="144" customFormat="1">
      <c r="B18" s="145">
        <v>7</v>
      </c>
      <c r="C18" s="146" t="str">
        <f t="shared" si="0"/>
        <v>EWS Netz</v>
      </c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>
      <c r="B19" s="145">
        <v>8</v>
      </c>
      <c r="C19" s="146" t="str">
        <f t="shared" si="0"/>
        <v>EWS Netz</v>
      </c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>
      <c r="B20" s="145">
        <v>9</v>
      </c>
      <c r="C20" s="146" t="str">
        <f t="shared" si="0"/>
        <v>EWS Netz</v>
      </c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>
      <c r="B21" s="145">
        <v>10</v>
      </c>
      <c r="C21" s="146" t="str">
        <f t="shared" si="0"/>
        <v>EWS Netz</v>
      </c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>
      <c r="B22" s="145">
        <v>11</v>
      </c>
      <c r="C22" s="146" t="str">
        <f t="shared" si="0"/>
        <v>EWS Netz</v>
      </c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>
      <c r="B23" s="145">
        <v>12</v>
      </c>
      <c r="C23" s="146" t="str">
        <f t="shared" si="0"/>
        <v>EWS Netz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>
      <c r="B24" s="145">
        <v>13</v>
      </c>
      <c r="C24" s="146" t="str">
        <f t="shared" si="0"/>
        <v>EWS Netz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EWS Netz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EWS Netz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EWS Netz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EWS Netz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EWS Netz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EWS Netz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EWS Netz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EWS Netz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EWS Netz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EWS Netz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EWS Netz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EWS Netz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EWS Netz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EWS Netz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EWS Netz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EWS Netz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EWS Netz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F18:F41 H18:Y41 Y12:Y17">
    <cfRule type="expression" dxfId="40" priority="21">
      <formula>ISERROR(F11)</formula>
    </cfRule>
  </conditionalFormatting>
  <conditionalFormatting sqref="E18:F41 Y12:Y41">
    <cfRule type="duplicateValues" dxfId="39" priority="43"/>
  </conditionalFormatting>
  <conditionalFormatting sqref="F12 F14:F16">
    <cfRule type="expression" dxfId="11" priority="11">
      <formula>ISERROR(F12)</formula>
    </cfRule>
  </conditionalFormatting>
  <conditionalFormatting sqref="E12:F12 E14:F16">
    <cfRule type="duplicateValues" dxfId="10" priority="10"/>
  </conditionalFormatting>
  <conditionalFormatting sqref="F13">
    <cfRule type="expression" dxfId="9" priority="8">
      <formula>ISERROR(F13)</formula>
    </cfRule>
  </conditionalFormatting>
  <conditionalFormatting sqref="E13:F13">
    <cfRule type="duplicateValues" dxfId="8" priority="7"/>
  </conditionalFormatting>
  <conditionalFormatting sqref="F17">
    <cfRule type="expression" dxfId="7" priority="5">
      <formula>ISERROR(F17)</formula>
    </cfRule>
  </conditionalFormatting>
  <conditionalFormatting sqref="E17:F17">
    <cfRule type="duplicateValues" dxfId="6" priority="4"/>
  </conditionalFormatting>
  <conditionalFormatting sqref="H12:X12 H14:X16">
    <cfRule type="expression" dxfId="2" priority="3">
      <formula>ISERROR(H12)</formula>
    </cfRule>
  </conditionalFormatting>
  <conditionalFormatting sqref="H13:X13">
    <cfRule type="expression" dxfId="1" priority="2">
      <formula>ISERROR(H13)</formula>
    </cfRule>
  </conditionalFormatting>
  <conditionalFormatting sqref="H17:X17">
    <cfRule type="expression" dxfId="0" priority="1">
      <formula>ISERROR(H17)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D18:D41</xm:sqref>
        </x14:conditionalFormatting>
        <x14:conditionalFormatting xmlns:xm="http://schemas.microsoft.com/office/excel/2006/main">
          <x14:cfRule type="cellIs" priority="1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12" id="{90547804-1DFC-4399-B79A-B3A56388D8C6}">
            <xm:f>D12&lt;&gt;IF(ISERROR(VLOOKUP($E12,'[EWS_EKN-Auftrag_2015-011_KoV_VIII_Endfassung (3).xlsx]BDEW-Standard'!#REF!,1,0)),"Ind.-Koef.","BDEW")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 D14:D16</xm:sqref>
        </x14:conditionalFormatting>
        <x14:conditionalFormatting xmlns:xm="http://schemas.microsoft.com/office/excel/2006/main">
          <x14:cfRule type="expression" priority="9" id="{0F2B0C6C-762C-4CB7-8ECD-EA5D01D276FB}">
            <xm:f>D13&lt;&gt;IF(ISERROR(VLOOKUP($E13,'[EWS_EKN-Auftrag_2015-011_KoV_VIII_Endfassung (3).xlsx]BDEW-Standard'!#REF!,1,0)),"Ind.-Koef.","BDEW")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6" id="{99C2C497-A1C0-4497-A569-BA94972781A7}">
            <xm:f>D17&lt;&gt;IF(ISERROR(VLOOKUP($E17,'[EWS_EKN-Auftrag_2015-011_KoV_VIII_Endfassung (3).xlsx]BDEW-Standard'!#REF!,1,0)),"Ind.-Koef.","BDEW")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E18:E41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E18:E26</xm:sqref>
        </x14:dataValidation>
        <x14:dataValidation type="list" allowBlank="1" showInputMessage="1" showErrorMessage="1" xr:uid="{4645A6FC-AF39-4F5C-96F1-A3BCC92931AD}">
          <x14:formula1>
            <xm:f>'[EWS_EKN-Auftrag_2015-011_KoV_VIII_Endfassung (3).xlsx]BDEW-Standard'!#REF!</xm:f>
          </x14:formula1>
          <xm:sqref>E12:E17</xm:sqref>
        </x14:dataValidation>
        <x14:dataValidation type="list" errorStyle="information" allowBlank="1" showInputMessage="1" showErrorMessage="1" errorTitle="Achtung!" error="keine BDEW Nomenklatur" xr:uid="{37119BCF-ED08-4B2B-B4F2-B26D3DDCB841}">
          <x14:formula1>
            <xm:f>'[EWS_EKN-Auftrag_2015-011_KoV_VIII_Endfassung (3).xlsx]BDEW-Standard'!#REF!</xm:f>
          </x14:formula1>
          <xm:sqref>E12:E17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450</v>
      </c>
      <c r="F1" s="218" t="s">
        <v>543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Z22" sqref="Z22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442</v>
      </c>
    </row>
    <row r="3" spans="2:30" ht="15" customHeight="1">
      <c r="B3" s="85"/>
    </row>
    <row r="4" spans="2:30" ht="15" customHeight="1">
      <c r="B4" s="86" t="s">
        <v>441</v>
      </c>
      <c r="C4" s="64" t="str">
        <f>Netzbetreiber!$D$9</f>
        <v>ews Netz GmbH</v>
      </c>
      <c r="D4" s="77"/>
      <c r="G4" s="77"/>
      <c r="I4" s="77"/>
      <c r="J4" s="78"/>
      <c r="M4" s="87" t="s">
        <v>537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440</v>
      </c>
      <c r="C5" s="65" t="str">
        <f>Netzbetreiber!D28</f>
        <v>EWS Netz</v>
      </c>
      <c r="D5" s="37"/>
      <c r="E5" s="77"/>
      <c r="F5" s="77"/>
      <c r="G5" s="77"/>
      <c r="I5" s="77"/>
      <c r="J5" s="77"/>
      <c r="K5" s="77"/>
      <c r="L5" s="77"/>
      <c r="M5" s="89" t="s">
        <v>505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438</v>
      </c>
      <c r="C6" s="64" t="str">
        <f>Netzbetreiber!$D$11</f>
        <v>9870105600000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44562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454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463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375" t="s">
        <v>671</v>
      </c>
      <c r="X9" s="93" t="s">
        <v>378</v>
      </c>
      <c r="Y9" s="93" t="s">
        <v>379</v>
      </c>
      <c r="Z9" s="93" t="s">
        <v>380</v>
      </c>
      <c r="AA9" s="93" t="s">
        <v>381</v>
      </c>
      <c r="AB9" s="93" t="s">
        <v>382</v>
      </c>
      <c r="AC9" s="94" t="s">
        <v>383</v>
      </c>
      <c r="AD9" s="94" t="s">
        <v>425</v>
      </c>
    </row>
    <row r="10" spans="2:30" ht="72" customHeight="1" thickBot="1">
      <c r="B10" s="360" t="s">
        <v>581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394</v>
      </c>
      <c r="G10" s="358"/>
      <c r="H10" s="358"/>
      <c r="I10" s="358"/>
      <c r="J10" s="358"/>
      <c r="K10" s="358"/>
      <c r="L10" s="359"/>
      <c r="M10" s="97" t="s">
        <v>464</v>
      </c>
      <c r="N10" s="98" t="s">
        <v>465</v>
      </c>
      <c r="O10" s="99" t="s">
        <v>466</v>
      </c>
      <c r="P10" s="100" t="s">
        <v>467</v>
      </c>
      <c r="Q10" s="100" t="s">
        <v>468</v>
      </c>
      <c r="R10" s="100" t="s">
        <v>469</v>
      </c>
      <c r="S10" s="100" t="s">
        <v>470</v>
      </c>
      <c r="T10" s="100" t="s">
        <v>471</v>
      </c>
      <c r="U10" s="100" t="s">
        <v>472</v>
      </c>
      <c r="V10" s="100" t="s">
        <v>473</v>
      </c>
      <c r="W10" s="376" t="s">
        <v>670</v>
      </c>
      <c r="X10" s="100" t="s">
        <v>474</v>
      </c>
      <c r="Y10" s="100" t="s">
        <v>475</v>
      </c>
      <c r="Z10" s="100" t="s">
        <v>476</v>
      </c>
      <c r="AA10" s="100" t="s">
        <v>477</v>
      </c>
      <c r="AB10" s="100" t="s">
        <v>478</v>
      </c>
      <c r="AC10" s="101" t="s">
        <v>479</v>
      </c>
      <c r="AD10" s="102" t="s">
        <v>426</v>
      </c>
    </row>
    <row r="11" spans="2:30" ht="15.75" thickBot="1">
      <c r="B11" s="103" t="s">
        <v>417</v>
      </c>
      <c r="C11" s="104"/>
      <c r="D11" s="105">
        <v>3</v>
      </c>
      <c r="E11" s="106"/>
      <c r="F11" s="107" t="s">
        <v>385</v>
      </c>
      <c r="G11" s="108" t="s">
        <v>386</v>
      </c>
      <c r="H11" s="108" t="s">
        <v>387</v>
      </c>
      <c r="I11" s="108" t="s">
        <v>388</v>
      </c>
      <c r="J11" s="108" t="s">
        <v>389</v>
      </c>
      <c r="K11" s="108" t="s">
        <v>390</v>
      </c>
      <c r="L11" s="109" t="s">
        <v>391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395</v>
      </c>
      <c r="C12" s="111"/>
      <c r="D12" s="112">
        <v>4</v>
      </c>
      <c r="E12" s="315">
        <f>MIN(SUMPRODUCT($M$11:$AD$11,M12:AD12),1)</f>
        <v>1</v>
      </c>
      <c r="F12" s="312" t="s">
        <v>391</v>
      </c>
      <c r="G12" s="79" t="s">
        <v>391</v>
      </c>
      <c r="H12" s="79" t="s">
        <v>391</v>
      </c>
      <c r="I12" s="79" t="s">
        <v>391</v>
      </c>
      <c r="J12" s="79" t="s">
        <v>391</v>
      </c>
      <c r="K12" s="79" t="s">
        <v>391</v>
      </c>
      <c r="L12" s="80" t="s">
        <v>391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377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396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391</v>
      </c>
      <c r="G13" s="81" t="s">
        <v>391</v>
      </c>
      <c r="H13" s="81" t="s">
        <v>391</v>
      </c>
      <c r="I13" s="81" t="s">
        <v>391</v>
      </c>
      <c r="J13" s="81" t="s">
        <v>391</v>
      </c>
      <c r="K13" s="81" t="s">
        <v>391</v>
      </c>
      <c r="L13" s="82" t="s">
        <v>391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378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397</v>
      </c>
      <c r="C14" s="118"/>
      <c r="D14" s="112">
        <v>6</v>
      </c>
      <c r="E14" s="316">
        <f t="shared" si="0"/>
        <v>0</v>
      </c>
      <c r="F14" s="313" t="s">
        <v>391</v>
      </c>
      <c r="G14" s="81" t="s">
        <v>398</v>
      </c>
      <c r="H14" s="81" t="s">
        <v>398</v>
      </c>
      <c r="I14" s="81" t="s">
        <v>398</v>
      </c>
      <c r="J14" s="81" t="s">
        <v>398</v>
      </c>
      <c r="K14" s="81" t="s">
        <v>398</v>
      </c>
      <c r="L14" s="82" t="s">
        <v>398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378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399</v>
      </c>
      <c r="C15" s="118"/>
      <c r="D15" s="112">
        <v>7</v>
      </c>
      <c r="E15" s="316">
        <f t="shared" si="0"/>
        <v>0</v>
      </c>
      <c r="F15" s="313" t="s">
        <v>398</v>
      </c>
      <c r="G15" s="81" t="s">
        <v>390</v>
      </c>
      <c r="H15" s="81" t="s">
        <v>398</v>
      </c>
      <c r="I15" s="81" t="s">
        <v>398</v>
      </c>
      <c r="J15" s="81" t="s">
        <v>398</v>
      </c>
      <c r="K15" s="81" t="s">
        <v>398</v>
      </c>
      <c r="L15" s="82" t="s">
        <v>398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378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411</v>
      </c>
      <c r="C16" s="118"/>
      <c r="D16" s="112">
        <v>8</v>
      </c>
      <c r="E16" s="316">
        <f t="shared" si="0"/>
        <v>1</v>
      </c>
      <c r="F16" s="313" t="s">
        <v>398</v>
      </c>
      <c r="G16" s="81" t="s">
        <v>398</v>
      </c>
      <c r="H16" s="81" t="s">
        <v>398</v>
      </c>
      <c r="I16" s="81" t="s">
        <v>398</v>
      </c>
      <c r="J16" s="81" t="s">
        <v>391</v>
      </c>
      <c r="K16" s="81" t="s">
        <v>398</v>
      </c>
      <c r="L16" s="82" t="s">
        <v>398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378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412</v>
      </c>
      <c r="C17" s="118"/>
      <c r="D17" s="112">
        <v>9</v>
      </c>
      <c r="E17" s="316">
        <f t="shared" si="0"/>
        <v>1</v>
      </c>
      <c r="F17" s="313" t="s">
        <v>398</v>
      </c>
      <c r="G17" s="81" t="s">
        <v>398</v>
      </c>
      <c r="H17" s="81" t="s">
        <v>398</v>
      </c>
      <c r="I17" s="81" t="s">
        <v>398</v>
      </c>
      <c r="J17" s="81" t="s">
        <v>398</v>
      </c>
      <c r="K17" s="81" t="s">
        <v>398</v>
      </c>
      <c r="L17" s="82" t="s">
        <v>391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378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413</v>
      </c>
      <c r="C18" s="118"/>
      <c r="D18" s="112">
        <v>10</v>
      </c>
      <c r="E18" s="316">
        <f t="shared" si="0"/>
        <v>1</v>
      </c>
      <c r="F18" s="313" t="s">
        <v>391</v>
      </c>
      <c r="G18" s="81" t="s">
        <v>398</v>
      </c>
      <c r="H18" s="81" t="s">
        <v>398</v>
      </c>
      <c r="I18" s="81" t="s">
        <v>398</v>
      </c>
      <c r="J18" s="81" t="s">
        <v>398</v>
      </c>
      <c r="K18" s="81" t="s">
        <v>398</v>
      </c>
      <c r="L18" s="82" t="s">
        <v>398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378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649</v>
      </c>
      <c r="C19" s="341"/>
      <c r="D19" s="112"/>
      <c r="E19" s="316">
        <v>1</v>
      </c>
      <c r="F19" s="313" t="s">
        <v>391</v>
      </c>
      <c r="G19" s="81" t="s">
        <v>391</v>
      </c>
      <c r="H19" s="81" t="s">
        <v>391</v>
      </c>
      <c r="I19" s="81" t="s">
        <v>391</v>
      </c>
      <c r="J19" s="81" t="s">
        <v>391</v>
      </c>
      <c r="K19" s="81" t="s">
        <v>391</v>
      </c>
      <c r="L19" s="82" t="s">
        <v>391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378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400</v>
      </c>
      <c r="C20" s="118"/>
      <c r="D20" s="112">
        <v>11</v>
      </c>
      <c r="E20" s="316">
        <f t="shared" si="0"/>
        <v>1</v>
      </c>
      <c r="F20" s="313" t="s">
        <v>391</v>
      </c>
      <c r="G20" s="81" t="s">
        <v>391</v>
      </c>
      <c r="H20" s="81" t="s">
        <v>391</v>
      </c>
      <c r="I20" s="81" t="s">
        <v>391</v>
      </c>
      <c r="J20" s="81" t="s">
        <v>391</v>
      </c>
      <c r="K20" s="81" t="s">
        <v>391</v>
      </c>
      <c r="L20" s="82" t="s">
        <v>391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378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647</v>
      </c>
      <c r="C21" s="118"/>
      <c r="D21" s="112">
        <v>12</v>
      </c>
      <c r="E21" s="316">
        <f t="shared" si="0"/>
        <v>1</v>
      </c>
      <c r="F21" s="313" t="s">
        <v>398</v>
      </c>
      <c r="G21" s="81" t="s">
        <v>398</v>
      </c>
      <c r="H21" s="81" t="s">
        <v>398</v>
      </c>
      <c r="I21" s="81" t="s">
        <v>391</v>
      </c>
      <c r="J21" s="81" t="s">
        <v>398</v>
      </c>
      <c r="K21" s="81" t="s">
        <v>398</v>
      </c>
      <c r="L21" s="82" t="s">
        <v>398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378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414</v>
      </c>
      <c r="C22" s="118"/>
      <c r="D22" s="112">
        <v>13</v>
      </c>
      <c r="E22" s="316">
        <f t="shared" si="0"/>
        <v>1</v>
      </c>
      <c r="F22" s="313" t="s">
        <v>398</v>
      </c>
      <c r="G22" s="81" t="s">
        <v>398</v>
      </c>
      <c r="H22" s="81" t="s">
        <v>398</v>
      </c>
      <c r="I22" s="81" t="s">
        <v>398</v>
      </c>
      <c r="J22" s="81" t="s">
        <v>398</v>
      </c>
      <c r="K22" s="81" t="s">
        <v>398</v>
      </c>
      <c r="L22" s="82" t="s">
        <v>391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378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415</v>
      </c>
      <c r="C23" s="118"/>
      <c r="D23" s="112">
        <v>14</v>
      </c>
      <c r="E23" s="316">
        <f t="shared" si="0"/>
        <v>1</v>
      </c>
      <c r="F23" s="313" t="s">
        <v>391</v>
      </c>
      <c r="G23" s="81" t="s">
        <v>398</v>
      </c>
      <c r="H23" s="81" t="s">
        <v>398</v>
      </c>
      <c r="I23" s="81" t="s">
        <v>398</v>
      </c>
      <c r="J23" s="81" t="s">
        <v>398</v>
      </c>
      <c r="K23" s="81" t="s">
        <v>398</v>
      </c>
      <c r="L23" s="82" t="s">
        <v>398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378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416</v>
      </c>
      <c r="C24" s="118"/>
      <c r="D24" s="112">
        <v>15</v>
      </c>
      <c r="E24" s="316">
        <f t="shared" si="0"/>
        <v>0</v>
      </c>
      <c r="F24" s="313" t="s">
        <v>398</v>
      </c>
      <c r="G24" s="81" t="s">
        <v>398</v>
      </c>
      <c r="H24" s="81" t="s">
        <v>398</v>
      </c>
      <c r="I24" s="81" t="s">
        <v>391</v>
      </c>
      <c r="J24" s="81" t="s">
        <v>398</v>
      </c>
      <c r="K24" s="81" t="s">
        <v>398</v>
      </c>
      <c r="L24" s="82" t="s">
        <v>398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378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401</v>
      </c>
      <c r="C25" s="118"/>
      <c r="D25" s="112">
        <v>16</v>
      </c>
      <c r="E25" s="316">
        <f t="shared" si="0"/>
        <v>0</v>
      </c>
      <c r="F25" s="313" t="s">
        <v>391</v>
      </c>
      <c r="G25" s="81" t="s">
        <v>391</v>
      </c>
      <c r="H25" s="81" t="s">
        <v>391</v>
      </c>
      <c r="I25" s="81" t="s">
        <v>391</v>
      </c>
      <c r="J25" s="81" t="s">
        <v>391</v>
      </c>
      <c r="K25" s="81" t="s">
        <v>391</v>
      </c>
      <c r="L25" s="82" t="s">
        <v>391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378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402</v>
      </c>
      <c r="C26" s="118"/>
      <c r="D26" s="112">
        <v>17</v>
      </c>
      <c r="E26" s="316">
        <f t="shared" si="0"/>
        <v>0</v>
      </c>
      <c r="F26" s="313" t="s">
        <v>391</v>
      </c>
      <c r="G26" s="81" t="s">
        <v>391</v>
      </c>
      <c r="H26" s="81" t="s">
        <v>391</v>
      </c>
      <c r="I26" s="81" t="s">
        <v>391</v>
      </c>
      <c r="J26" s="81" t="s">
        <v>391</v>
      </c>
      <c r="K26" s="81" t="s">
        <v>391</v>
      </c>
      <c r="L26" s="82" t="s">
        <v>391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378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648</v>
      </c>
      <c r="C27" s="341"/>
      <c r="D27" s="112"/>
      <c r="E27" s="316">
        <v>1</v>
      </c>
      <c r="F27" s="313" t="s">
        <v>391</v>
      </c>
      <c r="G27" s="81" t="s">
        <v>391</v>
      </c>
      <c r="H27" s="81" t="s">
        <v>391</v>
      </c>
      <c r="I27" s="81" t="s">
        <v>391</v>
      </c>
      <c r="J27" s="81" t="s">
        <v>391</v>
      </c>
      <c r="K27" s="81" t="s">
        <v>391</v>
      </c>
      <c r="L27" s="82" t="s">
        <v>391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378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403</v>
      </c>
      <c r="C28" s="118"/>
      <c r="D28" s="112">
        <v>18</v>
      </c>
      <c r="E28" s="316">
        <f t="shared" si="0"/>
        <v>1</v>
      </c>
      <c r="F28" s="313" t="s">
        <v>391</v>
      </c>
      <c r="G28" s="81" t="s">
        <v>391</v>
      </c>
      <c r="H28" s="81" t="s">
        <v>391</v>
      </c>
      <c r="I28" s="81" t="s">
        <v>391</v>
      </c>
      <c r="J28" s="81" t="s">
        <v>391</v>
      </c>
      <c r="K28" s="81" t="s">
        <v>391</v>
      </c>
      <c r="L28" s="82" t="s">
        <v>391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378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404</v>
      </c>
      <c r="C29" s="341"/>
      <c r="D29" s="342">
        <v>19</v>
      </c>
      <c r="E29" s="343">
        <v>1</v>
      </c>
      <c r="F29" s="313" t="s">
        <v>391</v>
      </c>
      <c r="G29" s="313" t="s">
        <v>391</v>
      </c>
      <c r="H29" s="313" t="s">
        <v>391</v>
      </c>
      <c r="I29" s="313" t="s">
        <v>391</v>
      </c>
      <c r="J29" s="313" t="s">
        <v>391</v>
      </c>
      <c r="K29" s="313" t="s">
        <v>391</v>
      </c>
      <c r="L29" s="313" t="s">
        <v>391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78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405</v>
      </c>
      <c r="C30" s="118"/>
      <c r="D30" s="112">
        <v>20</v>
      </c>
      <c r="E30" s="316">
        <f t="shared" si="0"/>
        <v>0</v>
      </c>
      <c r="F30" s="313" t="s">
        <v>391</v>
      </c>
      <c r="G30" s="81" t="s">
        <v>391</v>
      </c>
      <c r="H30" s="81" t="s">
        <v>391</v>
      </c>
      <c r="I30" s="81" t="s">
        <v>391</v>
      </c>
      <c r="J30" s="81" t="s">
        <v>391</v>
      </c>
      <c r="K30" s="81" t="s">
        <v>391</v>
      </c>
      <c r="L30" s="82" t="s">
        <v>391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378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406</v>
      </c>
      <c r="C31" s="118"/>
      <c r="D31" s="112">
        <v>21</v>
      </c>
      <c r="E31" s="316">
        <f t="shared" si="0"/>
        <v>0</v>
      </c>
      <c r="F31" s="313" t="s">
        <v>398</v>
      </c>
      <c r="G31" s="81" t="s">
        <v>398</v>
      </c>
      <c r="H31" s="81" t="s">
        <v>391</v>
      </c>
      <c r="I31" s="81" t="s">
        <v>398</v>
      </c>
      <c r="J31" s="81" t="s">
        <v>398</v>
      </c>
      <c r="K31" s="81" t="s">
        <v>398</v>
      </c>
      <c r="L31" s="82" t="s">
        <v>398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378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407</v>
      </c>
      <c r="C32" s="118"/>
      <c r="D32" s="112">
        <v>22</v>
      </c>
      <c r="E32" s="316">
        <f t="shared" si="0"/>
        <v>0</v>
      </c>
      <c r="F32" s="313" t="s">
        <v>390</v>
      </c>
      <c r="G32" s="81" t="s">
        <v>390</v>
      </c>
      <c r="H32" s="81" t="s">
        <v>390</v>
      </c>
      <c r="I32" s="81" t="s">
        <v>390</v>
      </c>
      <c r="J32" s="81" t="s">
        <v>390</v>
      </c>
      <c r="K32" s="81" t="s">
        <v>390</v>
      </c>
      <c r="L32" s="82" t="s">
        <v>391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378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408</v>
      </c>
      <c r="C33" s="118"/>
      <c r="D33" s="112">
        <v>23</v>
      </c>
      <c r="E33" s="316">
        <f t="shared" si="0"/>
        <v>1</v>
      </c>
      <c r="F33" s="313" t="s">
        <v>391</v>
      </c>
      <c r="G33" s="81" t="s">
        <v>391</v>
      </c>
      <c r="H33" s="81" t="s">
        <v>391</v>
      </c>
      <c r="I33" s="81" t="s">
        <v>391</v>
      </c>
      <c r="J33" s="81" t="s">
        <v>391</v>
      </c>
      <c r="K33" s="81" t="s">
        <v>391</v>
      </c>
      <c r="L33" s="82" t="s">
        <v>391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378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409</v>
      </c>
      <c r="C34" s="118"/>
      <c r="D34" s="112">
        <v>24</v>
      </c>
      <c r="E34" s="316">
        <f t="shared" si="0"/>
        <v>1</v>
      </c>
      <c r="F34" s="313" t="s">
        <v>391</v>
      </c>
      <c r="G34" s="81" t="s">
        <v>391</v>
      </c>
      <c r="H34" s="81" t="s">
        <v>391</v>
      </c>
      <c r="I34" s="81" t="s">
        <v>391</v>
      </c>
      <c r="J34" s="81" t="s">
        <v>391</v>
      </c>
      <c r="K34" s="81" t="s">
        <v>391</v>
      </c>
      <c r="L34" s="82" t="s">
        <v>391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378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410</v>
      </c>
      <c r="C35" s="124"/>
      <c r="D35" s="125">
        <v>25</v>
      </c>
      <c r="E35" s="317">
        <f t="shared" si="0"/>
        <v>0</v>
      </c>
      <c r="F35" s="314" t="s">
        <v>390</v>
      </c>
      <c r="G35" s="83" t="s">
        <v>390</v>
      </c>
      <c r="H35" s="83" t="s">
        <v>390</v>
      </c>
      <c r="I35" s="83" t="s">
        <v>390</v>
      </c>
      <c r="J35" s="83" t="s">
        <v>390</v>
      </c>
      <c r="K35" s="83" t="s">
        <v>390</v>
      </c>
      <c r="L35" s="84" t="s">
        <v>391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379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35" priority="9">
      <formula>IF(E$11="NB",1,0)</formula>
    </cfRule>
  </conditionalFormatting>
  <conditionalFormatting sqref="F12:L35">
    <cfRule type="expression" dxfId="34" priority="6">
      <formula>IF($E12=1,1,0)</formula>
    </cfRule>
  </conditionalFormatting>
  <conditionalFormatting sqref="M12:AD35">
    <cfRule type="expression" dxfId="33" priority="3">
      <formula>IF(M$11=1,1)</formula>
    </cfRule>
  </conditionalFormatting>
  <conditionalFormatting sqref="M9:AD10">
    <cfRule type="expression" dxfId="3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451</v>
      </c>
      <c r="B1" s="129"/>
      <c r="D1" s="218" t="s">
        <v>543</v>
      </c>
    </row>
    <row r="2" spans="1:16">
      <c r="A2" s="238"/>
      <c r="B2" s="237" t="s">
        <v>452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453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1" priority="2" stopIfTrue="1" operator="equal">
      <formula>$M7</formula>
    </cfRule>
  </conditionalFormatting>
  <conditionalFormatting sqref="D9:J9">
    <cfRule type="cellIs" dxfId="3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Albrecht, Daniel</cp:lastModifiedBy>
  <cp:lastPrinted>2015-03-20T22:59:10Z</cp:lastPrinted>
  <dcterms:created xsi:type="dcterms:W3CDTF">2015-01-15T05:25:41Z</dcterms:created>
  <dcterms:modified xsi:type="dcterms:W3CDTF">2021-12-06T15:01:14Z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